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 KINGSTON\actualizacindecostosdeproduccincultivosdiversos\Nueva carpeta 2024\"/>
    </mc:Choice>
  </mc:AlternateContent>
  <xr:revisionPtr revIDLastSave="0" documentId="13_ncr:1_{C2DDD610-8924-406D-8482-1F30D20384B8}" xr6:coauthVersionLast="47" xr6:coauthVersionMax="47" xr10:uidLastSave="{00000000-0000-0000-0000-000000000000}"/>
  <bookViews>
    <workbookView xWindow="-108" yWindow="-108" windowWidth="23256" windowHeight="12456" xr2:uid="{30436331-9AC5-4AF8-8885-24C2893733B5}"/>
  </bookViews>
  <sheets>
    <sheet name="VAINITA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3" i="1" l="1"/>
  <c r="C186" i="1"/>
  <c r="E114" i="1"/>
  <c r="B174" i="1"/>
  <c r="G96" i="1"/>
  <c r="G97" i="1"/>
  <c r="D156" i="1"/>
  <c r="D155" i="1"/>
  <c r="D154" i="1"/>
  <c r="D153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26" i="1"/>
  <c r="L26" i="1"/>
  <c r="P25" i="1"/>
  <c r="F75" i="1"/>
  <c r="F74" i="1"/>
  <c r="F70" i="1"/>
  <c r="F69" i="1"/>
  <c r="F66" i="1"/>
  <c r="F65" i="1"/>
  <c r="F63" i="1"/>
  <c r="F62" i="1"/>
  <c r="F54" i="1"/>
  <c r="F53" i="1"/>
  <c r="F52" i="1"/>
  <c r="F51" i="1"/>
  <c r="F28" i="1"/>
  <c r="I81" i="1"/>
  <c r="K44" i="1"/>
  <c r="G100" i="1"/>
  <c r="D148" i="1" s="1"/>
  <c r="J81" i="1"/>
  <c r="L98" i="1"/>
  <c r="K98" i="1"/>
  <c r="L90" i="1"/>
  <c r="K90" i="1"/>
  <c r="J79" i="1"/>
  <c r="N53" i="1"/>
  <c r="N52" i="1"/>
  <c r="F71" i="1"/>
  <c r="K33" i="1"/>
  <c r="L33" i="1" s="1"/>
  <c r="F47" i="1"/>
  <c r="F46" i="1"/>
  <c r="F43" i="1"/>
  <c r="F42" i="1"/>
  <c r="F41" i="1"/>
  <c r="F40" i="1"/>
  <c r="F39" i="1"/>
  <c r="F36" i="1"/>
  <c r="F35" i="1"/>
  <c r="F34" i="1"/>
  <c r="F31" i="1"/>
  <c r="F30" i="1"/>
  <c r="F29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2" i="1"/>
  <c r="L31" i="1"/>
  <c r="L30" i="1"/>
  <c r="L29" i="1"/>
  <c r="L28" i="1"/>
  <c r="L27" i="1"/>
  <c r="K25" i="1"/>
  <c r="I79" i="1" l="1"/>
  <c r="E123" i="1"/>
  <c r="E115" i="1" l="1"/>
  <c r="E121" i="1" s="1"/>
  <c r="E100" i="1"/>
  <c r="F92" i="1"/>
  <c r="G91" i="1"/>
  <c r="E91" i="1"/>
  <c r="G90" i="1"/>
  <c r="G89" i="1"/>
  <c r="G88" i="1"/>
  <c r="G87" i="1"/>
  <c r="G83" i="1"/>
  <c r="E83" i="1"/>
  <c r="G82" i="1"/>
  <c r="G81" i="1" s="1"/>
  <c r="E81" i="1"/>
  <c r="G79" i="1"/>
  <c r="G78" i="1" s="1"/>
  <c r="E78" i="1"/>
  <c r="G74" i="1"/>
  <c r="G73" i="1" s="1"/>
  <c r="E73" i="1"/>
  <c r="G70" i="1"/>
  <c r="G69" i="1"/>
  <c r="E68" i="1"/>
  <c r="G66" i="1"/>
  <c r="G65" i="1"/>
  <c r="G64" i="1"/>
  <c r="G63" i="1"/>
  <c r="G62" i="1"/>
  <c r="E61" i="1"/>
  <c r="G59" i="1"/>
  <c r="G58" i="1" s="1"/>
  <c r="E58" i="1"/>
  <c r="G54" i="1"/>
  <c r="G53" i="1"/>
  <c r="G52" i="1"/>
  <c r="G51" i="1"/>
  <c r="E50" i="1"/>
  <c r="G47" i="1"/>
  <c r="G45" i="1" s="1"/>
  <c r="G46" i="1"/>
  <c r="E45" i="1"/>
  <c r="G43" i="1"/>
  <c r="G42" i="1"/>
  <c r="G41" i="1"/>
  <c r="G40" i="1"/>
  <c r="G39" i="1"/>
  <c r="E38" i="1"/>
  <c r="G36" i="1"/>
  <c r="G35" i="1"/>
  <c r="G34" i="1"/>
  <c r="G33" i="1" s="1"/>
  <c r="E33" i="1"/>
  <c r="G31" i="1"/>
  <c r="G30" i="1"/>
  <c r="G29" i="1"/>
  <c r="G28" i="1"/>
  <c r="E27" i="1"/>
  <c r="E26" i="1" s="1"/>
  <c r="E92" i="1" s="1"/>
  <c r="G68" i="1" l="1"/>
  <c r="E57" i="1"/>
  <c r="G50" i="1"/>
  <c r="G61" i="1"/>
  <c r="G57" i="1" s="1"/>
  <c r="G38" i="1"/>
  <c r="G92" i="1"/>
  <c r="G86" i="1" s="1"/>
  <c r="G27" i="1"/>
  <c r="G26" i="1" s="1"/>
  <c r="F99" i="1" l="1"/>
  <c r="G99" i="1" s="1"/>
  <c r="G24" i="1"/>
  <c r="F96" i="1" l="1"/>
  <c r="E118" i="1"/>
  <c r="E122" i="1" l="1"/>
  <c r="F97" i="1"/>
  <c r="F98" i="1" l="1"/>
  <c r="D146" i="1"/>
  <c r="F100" i="1" l="1"/>
  <c r="E151" i="1" s="1"/>
  <c r="G98" i="1"/>
  <c r="D147" i="1" s="1"/>
  <c r="E144" i="1" s="1"/>
  <c r="B177" i="1" l="1"/>
  <c r="G95" i="1"/>
  <c r="E119" i="1" s="1"/>
  <c r="E120" i="1" s="1"/>
  <c r="E124" i="1" l="1"/>
  <c r="G136" i="1" s="1"/>
  <c r="D133" i="1"/>
  <c r="G104" i="1"/>
  <c r="E126" i="1"/>
  <c r="F127" i="1" s="1"/>
  <c r="E125" i="1" l="1"/>
</calcChain>
</file>

<file path=xl/sharedStrings.xml><?xml version="1.0" encoding="utf-8"?>
<sst xmlns="http://schemas.openxmlformats.org/spreadsheetml/2006/main" count="355" uniqueCount="244">
  <si>
    <t>GERENCIA REGIONAL DE AGRICULTURA</t>
  </si>
  <si>
    <t>"MEJORA DE LA ARTICULACIÓN DE PEQUEÑOS PRODUCTORES AL MERCADO"</t>
  </si>
  <si>
    <t>COSTO DE PRODUCCION DEL CULTIVO DE VAINITA POR HECTAREA</t>
  </si>
  <si>
    <t xml:space="preserve">CULTIVO </t>
  </si>
  <si>
    <t>: VAINITA</t>
  </si>
  <si>
    <t>VARIEDAD</t>
  </si>
  <si>
    <t>: Royalnel-Jade-Dandy-Derby</t>
  </si>
  <si>
    <t>TASA DE INTERES ANUAL %</t>
  </si>
  <si>
    <t>: 22</t>
  </si>
  <si>
    <t>PERIODO VEGETATIVO</t>
  </si>
  <si>
    <t>: 04 - 05  Meses</t>
  </si>
  <si>
    <t>DISIS DE FERTILIZACION N-P-K</t>
  </si>
  <si>
    <t>: 67-46-60</t>
  </si>
  <si>
    <t>TIPO DE SIEMBRA</t>
  </si>
  <si>
    <t>: Directa</t>
  </si>
  <si>
    <t xml:space="preserve">TIPO DE RIEGO                            </t>
  </si>
  <si>
    <t>: Gravedad</t>
  </si>
  <si>
    <t>PERIODO DE SIEMBRA</t>
  </si>
  <si>
    <t>: Ago-Abr</t>
  </si>
  <si>
    <t>DISTANCIAMIENTO</t>
  </si>
  <si>
    <t>PERIODO DE COSECHA</t>
  </si>
  <si>
    <t>: Ene-Ago</t>
  </si>
  <si>
    <t>DENSIDAD</t>
  </si>
  <si>
    <t xml:space="preserve">PROVINCIA </t>
  </si>
  <si>
    <t>AMBITO</t>
  </si>
  <si>
    <t>FECHA DE ACTUALIZACION</t>
  </si>
  <si>
    <t>NIVEL TECNOLOGICO</t>
  </si>
  <si>
    <t xml:space="preserve">: Medio </t>
  </si>
  <si>
    <t>ELABORADO POR</t>
  </si>
  <si>
    <t>ITEM</t>
  </si>
  <si>
    <t>ACTIVIDAD</t>
  </si>
  <si>
    <t>UNIDAD DE MEDIDA</t>
  </si>
  <si>
    <t>PERSONAL</t>
  </si>
  <si>
    <t xml:space="preserve">CANTIDAD </t>
  </si>
  <si>
    <t>COSTO UNITARIO</t>
  </si>
  <si>
    <t>COSTO TOTAL SOLES</t>
  </si>
  <si>
    <t>U</t>
  </si>
  <si>
    <t>OTROS</t>
  </si>
  <si>
    <t>I.</t>
  </si>
  <si>
    <t>COSTOS DIRECTOS</t>
  </si>
  <si>
    <t>T E R R E N O   D E F I N I T I V O</t>
  </si>
  <si>
    <t xml:space="preserve">A).- </t>
  </si>
  <si>
    <t>MANO DE OBRA</t>
  </si>
  <si>
    <t>Preparación de Terreno Definitivo</t>
  </si>
  <si>
    <t>Recojo de Maleza, Junta y Quema</t>
  </si>
  <si>
    <t>Jornal - M</t>
  </si>
  <si>
    <t>MUJERES</t>
  </si>
  <si>
    <t>Limpieza de Acequias, Desagües y Drenes</t>
  </si>
  <si>
    <t>Jornal - H</t>
  </si>
  <si>
    <t>HOMBRES</t>
  </si>
  <si>
    <t>Riego de Aniego y Remojo o Mata Gusano</t>
  </si>
  <si>
    <t>Tomeo y Arreglo de Bordos y Surcos</t>
  </si>
  <si>
    <t>Siembra</t>
  </si>
  <si>
    <t>Hoyadura</t>
  </si>
  <si>
    <t>Siembra y Tapado de Semilla</t>
  </si>
  <si>
    <t>Resiembra a Mano</t>
  </si>
  <si>
    <t>Labores Culturales</t>
  </si>
  <si>
    <t>Aplicación de Fertilizantes  (2)</t>
  </si>
  <si>
    <t>Aplicación de Insecticidas</t>
  </si>
  <si>
    <t>Aplicación de Fungicidas</t>
  </si>
  <si>
    <t xml:space="preserve">Deshierbo y Lampeo </t>
  </si>
  <si>
    <t xml:space="preserve">Riegos </t>
  </si>
  <si>
    <t>Cosecha</t>
  </si>
  <si>
    <t>Recojo</t>
  </si>
  <si>
    <t>Carguío</t>
  </si>
  <si>
    <t>B).-</t>
  </si>
  <si>
    <t>MAQUINARIA AGRICOLA</t>
  </si>
  <si>
    <t>Rastrojeada</t>
  </si>
  <si>
    <t>Hora / Maquina</t>
  </si>
  <si>
    <t>MAQ. AGRICOLA</t>
  </si>
  <si>
    <t>Aradura</t>
  </si>
  <si>
    <t xml:space="preserve">Gradeo, Gancho y Nivelación </t>
  </si>
  <si>
    <t xml:space="preserve">Surqueo </t>
  </si>
  <si>
    <t>C).-</t>
  </si>
  <si>
    <t>INSUMOS</t>
  </si>
  <si>
    <t>Semillas</t>
  </si>
  <si>
    <t>kg. / Ha.</t>
  </si>
  <si>
    <t>Fertilizantes</t>
  </si>
  <si>
    <t>Nitrato de amonio</t>
  </si>
  <si>
    <t>KILOGRAMOS</t>
  </si>
  <si>
    <t>Fosfato Di Amonico</t>
  </si>
  <si>
    <t>Cloruro de Potasio</t>
  </si>
  <si>
    <t>Abono Foliar</t>
  </si>
  <si>
    <t xml:space="preserve">Insecticidas </t>
  </si>
  <si>
    <t>Metomil</t>
  </si>
  <si>
    <t>kg. o Lts</t>
  </si>
  <si>
    <t>KILOS</t>
  </si>
  <si>
    <t>Clorpirifos</t>
  </si>
  <si>
    <t>LITROS</t>
  </si>
  <si>
    <t>Fungicidas</t>
  </si>
  <si>
    <t>Metiram</t>
  </si>
  <si>
    <t>Propineb</t>
  </si>
  <si>
    <t>Metalaxil-M</t>
  </si>
  <si>
    <t>pH, Adherentes y Surfactante</t>
  </si>
  <si>
    <t>Varios</t>
  </si>
  <si>
    <t>Agua</t>
  </si>
  <si>
    <t>Canon de Agua</t>
  </si>
  <si>
    <r>
      <t>M</t>
    </r>
    <r>
      <rPr>
        <vertAlign val="superscript"/>
        <sz val="9"/>
        <rFont val="Arial"/>
        <family val="2"/>
      </rPr>
      <t>3</t>
    </r>
  </si>
  <si>
    <t>Otros Insumos</t>
  </si>
  <si>
    <t>Otros</t>
  </si>
  <si>
    <t>D).-</t>
  </si>
  <si>
    <t>VARIOS</t>
  </si>
  <si>
    <t>Alquiler de Terreno  ( Ha.)</t>
  </si>
  <si>
    <r>
      <t>M</t>
    </r>
    <r>
      <rPr>
        <vertAlign val="superscript"/>
        <sz val="9"/>
        <rFont val="Arial"/>
        <family val="2"/>
      </rPr>
      <t>2</t>
    </r>
  </si>
  <si>
    <t>Herramientas  (Lampas)</t>
  </si>
  <si>
    <t>Unidad</t>
  </si>
  <si>
    <t>Alquiler de Mochilas  ( Ha.)</t>
  </si>
  <si>
    <t>Unidades</t>
  </si>
  <si>
    <t>Flete Traslado de Insumos</t>
  </si>
  <si>
    <t xml:space="preserve">Viajes </t>
  </si>
  <si>
    <t>Flete Traslado de Producción</t>
  </si>
  <si>
    <t>Kilos</t>
  </si>
  <si>
    <t>Chicha mas Transporte</t>
  </si>
  <si>
    <t>ll.</t>
  </si>
  <si>
    <t>COSTOS INDIRECTOS</t>
  </si>
  <si>
    <t xml:space="preserve">  A</t>
  </si>
  <si>
    <t>Imprevistos</t>
  </si>
  <si>
    <t>%</t>
  </si>
  <si>
    <t xml:space="preserve">  B</t>
  </si>
  <si>
    <t>Gastos Administrativos</t>
  </si>
  <si>
    <t xml:space="preserve">  C</t>
  </si>
  <si>
    <t>Asistencia Técnica</t>
  </si>
  <si>
    <t xml:space="preserve">  D</t>
  </si>
  <si>
    <t>Leyes Sociales</t>
  </si>
  <si>
    <t xml:space="preserve">  E</t>
  </si>
  <si>
    <t>Intereses Bancarios por el Préstamo Total</t>
  </si>
  <si>
    <t>TOTAL    DE  COSTOS       DE    PRODUCCION</t>
  </si>
  <si>
    <t>ANALISIS   DE   RENTABILIDAD</t>
  </si>
  <si>
    <t>DEL CULTIVO</t>
  </si>
  <si>
    <t>Análisis de Rentabilidad</t>
  </si>
  <si>
    <t>S/.</t>
  </si>
  <si>
    <t>1     Valoración de la Cosecha</t>
  </si>
  <si>
    <t xml:space="preserve">      ·          Rendimiento   Probable  por  Hectárea ( kg /Ha.)</t>
  </si>
  <si>
    <t xml:space="preserve">      ·          Precio  Chacra   Promedio de Ventas (S/. X kg.)</t>
  </si>
  <si>
    <t xml:space="preserve">    ·      Valor  Bruto de la Producción</t>
  </si>
  <si>
    <t>VBP =</t>
  </si>
  <si>
    <t>2    Análisis de Rentabilidad</t>
  </si>
  <si>
    <t xml:space="preserve">     ·         Costo Directo</t>
  </si>
  <si>
    <t>CD=</t>
  </si>
  <si>
    <t xml:space="preserve">     ·         Costo Indirecto</t>
  </si>
  <si>
    <t>CI=</t>
  </si>
  <si>
    <t xml:space="preserve">   ·      Costo Total de Producción</t>
  </si>
  <si>
    <t>CTP=</t>
  </si>
  <si>
    <t xml:space="preserve">   .      Valor Bruto de la Producción</t>
  </si>
  <si>
    <t xml:space="preserve">VBP = </t>
  </si>
  <si>
    <t xml:space="preserve">   ·      Utilidad Bruta de la Producción</t>
  </si>
  <si>
    <t>UB=VBP-CD</t>
  </si>
  <si>
    <t xml:space="preserve">     .         Precio Chacra de Venta Unitario  (Kg.)</t>
  </si>
  <si>
    <t xml:space="preserve">     .         Costo de Producción Unitario (kg.)</t>
  </si>
  <si>
    <t xml:space="preserve">     .          Margen de Utilidad  Unitario  (kg.)</t>
  </si>
  <si>
    <t xml:space="preserve">   .      Utilidad  Neta de la Producción</t>
  </si>
  <si>
    <t>UN= VBP-CTP</t>
  </si>
  <si>
    <t xml:space="preserve">   .      Indicé  de  Rentabilidad   ( % )</t>
  </si>
  <si>
    <t>I R  = (VBP-CTP)*100 / CTP</t>
  </si>
  <si>
    <t>PRECIO DEL</t>
  </si>
  <si>
    <t>COSTO TOTAL EN</t>
  </si>
  <si>
    <t>DÓLAR A LA FECHA</t>
  </si>
  <si>
    <t>DÓLAR</t>
  </si>
  <si>
    <t>$</t>
  </si>
  <si>
    <t>COSTO TOTAL + 30 % RENTABILIDAD = PRECIO SUGERIDO PARA  KILO DE VAINITA        S/.</t>
  </si>
  <si>
    <t>OIA</t>
  </si>
  <si>
    <t>RUBRO</t>
  </si>
  <si>
    <t>UNIDAD</t>
  </si>
  <si>
    <t>C.U. S/.</t>
  </si>
  <si>
    <t>C.U.</t>
  </si>
  <si>
    <t>U.S.$</t>
  </si>
  <si>
    <t>Jornal</t>
  </si>
  <si>
    <t>--</t>
  </si>
  <si>
    <t>Despanque</t>
  </si>
  <si>
    <t>Bolsa / urea</t>
  </si>
  <si>
    <t>Hora / Máq:</t>
  </si>
  <si>
    <t xml:space="preserve">     Aradura</t>
  </si>
  <si>
    <t xml:space="preserve">    Surcadura</t>
  </si>
  <si>
    <t xml:space="preserve">     Rufa</t>
  </si>
  <si>
    <t>Cruza</t>
  </si>
  <si>
    <t>Semilla</t>
  </si>
  <si>
    <t>Kg</t>
  </si>
  <si>
    <t>Urea</t>
  </si>
  <si>
    <t>Bolsa X 50 Kg</t>
  </si>
  <si>
    <t>YUNTA /DIA</t>
  </si>
  <si>
    <t>Fosfato di amonico</t>
  </si>
  <si>
    <t>Sulfato de Potasio</t>
  </si>
  <si>
    <t>kg</t>
  </si>
  <si>
    <t>-  NPK 20-20-20</t>
  </si>
  <si>
    <t>citowed</t>
  </si>
  <si>
    <t>Agrotín -S</t>
  </si>
  <si>
    <t>precio en chacra S/ kg</t>
  </si>
  <si>
    <t>Transporte de Insumos</t>
  </si>
  <si>
    <t>kilo</t>
  </si>
  <si>
    <t xml:space="preserve">Metomil </t>
  </si>
  <si>
    <t>Ciypermetrina</t>
  </si>
  <si>
    <t>Metamidofos</t>
  </si>
  <si>
    <t>Propineb+Cimoxanil</t>
  </si>
  <si>
    <t>Mancozeb</t>
  </si>
  <si>
    <t>Pedimetalim</t>
  </si>
  <si>
    <t>Linuron</t>
  </si>
  <si>
    <t xml:space="preserve">Oxifluorfen </t>
  </si>
  <si>
    <t>Cletodina</t>
  </si>
  <si>
    <t>TRUJILLO</t>
  </si>
  <si>
    <t>gallinácea</t>
  </si>
  <si>
    <t>- Fipronil</t>
  </si>
  <si>
    <t>matrix 200</t>
  </si>
  <si>
    <t>‐ Antracol curativo</t>
  </si>
  <si>
    <t>‐ Ridomil</t>
  </si>
  <si>
    <t xml:space="preserve"> ‐ Hedonal 50 PM</t>
  </si>
  <si>
    <t xml:space="preserve"> ‐ Pega sol</t>
  </si>
  <si>
    <t>‐ Lannate 90</t>
  </si>
  <si>
    <t>Metribuzina (Sencor 480 SC; Bectra 48 SC)</t>
  </si>
  <si>
    <t>Roundup</t>
  </si>
  <si>
    <t>GOBIERNO REGIONAL DE LA LIBERTAD</t>
  </si>
  <si>
    <t>OFICINA DE INFORMACIÓN AGRARIA</t>
  </si>
  <si>
    <t>: Agencia Agraria Trujillo</t>
  </si>
  <si>
    <t>PRECIO EN CHACRA</t>
  </si>
  <si>
    <t>S/.  /  KG</t>
  </si>
  <si>
    <t>U.S. $  /  KG</t>
  </si>
  <si>
    <t>mes</t>
  </si>
  <si>
    <t>P 2024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</si>
  <si>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</si>
  <si>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</si>
  <si>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</si>
  <si>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</si>
  <si>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</si>
  <si>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</si>
  <si>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</si>
  <si>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</si>
  <si>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</si>
  <si>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</si>
  <si>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</si>
  <si>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</si>
  <si>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PUNTO  DE  EQUILIBRIO</t>
  </si>
  <si>
    <r>
      <t>COSTO FIJO</t>
    </r>
    <r>
      <rPr>
        <b/>
        <sz val="10"/>
        <rFont val="Arial"/>
        <family val="2"/>
      </rPr>
      <t xml:space="preserve">  :</t>
    </r>
  </si>
  <si>
    <t xml:space="preserve">          Gastos de Administración</t>
  </si>
  <si>
    <t xml:space="preserve">          Gastos de Producción </t>
  </si>
  <si>
    <t xml:space="preserve">          Gastos Financieros</t>
  </si>
  <si>
    <r>
      <t>COSTO  VARIABLE</t>
    </r>
    <r>
      <rPr>
        <b/>
        <sz val="10"/>
        <rFont val="Arial"/>
        <family val="2"/>
      </rPr>
      <t xml:space="preserve">  :</t>
    </r>
  </si>
  <si>
    <t xml:space="preserve">          Mano de Obra</t>
  </si>
  <si>
    <t xml:space="preserve">          Insumos</t>
  </si>
  <si>
    <t xml:space="preserve">          Gastos en Maquinaria y otros gastos</t>
  </si>
  <si>
    <t xml:space="preserve">          Imprevistos</t>
  </si>
  <si>
    <t>INGRESOS    U.S.  $</t>
  </si>
  <si>
    <t>C.V.</t>
  </si>
  <si>
    <t>C.F.</t>
  </si>
  <si>
    <t>KG  CHOCHO  O TARWI</t>
  </si>
  <si>
    <t>RENDIMIENTO Kg/Ha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</si>
</sst>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d\-mmm\-yyyy"/>
    <numFmt numFmtId="166" formatCode="_ * #,##0.00_ ;_ * \-#,##0.00_ ;_ * &quot;-&quot;??_ ;_ @_ "/>
    <numFmt numFmtId="167" formatCode="_-[$$-409]* #,##0.00_ ;_-[$$-409]* \-#,##0.00\ ;_-[$$-409]* &quot;-&quot;??_ ;_-@_ "/>
    <numFmt numFmtId="168" formatCode="[$$-409]#,##0.00_ ;\-[$$-409]#,##0.00\ "/>
  </numFmts>
  <fonts count="36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  <charset val="1"/>
    </font>
    <font>
      <b/>
      <i/>
      <sz val="7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b/>
      <sz val="7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b/>
      <u/>
      <sz val="9"/>
      <color indexed="8"/>
      <name val="Arial"/>
      <family val="2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11"/>
      <color indexed="8"/>
      <name val="Calibri"/>
      <family val="2"/>
      <charset val="1"/>
    </font>
    <font>
      <sz val="9"/>
      <name val="Calibri"/>
      <family val="2"/>
      <charset val="1"/>
    </font>
    <font>
      <b/>
      <sz val="9"/>
      <name val="Calibri"/>
      <family val="2"/>
    </font>
    <font>
      <vertAlign val="superscript"/>
      <sz val="9"/>
      <name val="Arial"/>
      <family val="2"/>
    </font>
    <font>
      <b/>
      <i/>
      <sz val="9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10"/>
      <name val="Tms Rmn"/>
    </font>
    <font>
      <sz val="10"/>
      <color indexed="9"/>
      <name val="Arial"/>
      <family val="2"/>
    </font>
    <font>
      <i/>
      <sz val="12"/>
      <name val="Courier"/>
    </font>
    <font>
      <sz val="12"/>
      <name val="Courier"/>
    </font>
    <font>
      <b/>
      <u/>
      <sz val="20"/>
      <color indexed="62"/>
      <name val="Arial Condensed Bold"/>
      <family val="2"/>
    </font>
    <font>
      <b/>
      <u/>
      <sz val="10"/>
      <name val="Arial"/>
      <family val="2"/>
    </font>
    <font>
      <b/>
      <sz val="10"/>
      <color indexed="54"/>
      <name val="Arial"/>
      <family val="2"/>
    </font>
    <font>
      <sz val="10"/>
      <color indexed="18"/>
      <name val="Arial"/>
      <family val="2"/>
    </font>
    <font>
      <sz val="10"/>
      <color indexed="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ill="0" applyBorder="0" applyAlignment="0" applyProtection="0"/>
    <xf numFmtId="0" fontId="4" fillId="0" borderId="0"/>
    <xf numFmtId="0" fontId="4" fillId="0" borderId="0"/>
    <xf numFmtId="0" fontId="20" fillId="0" borderId="0"/>
    <xf numFmtId="0" fontId="4" fillId="0" borderId="0"/>
  </cellStyleXfs>
  <cellXfs count="260">
    <xf numFmtId="0" fontId="0" fillId="0" borderId="0" xfId="0"/>
    <xf numFmtId="0" fontId="2" fillId="2" borderId="0" xfId="0" applyFont="1" applyFill="1"/>
    <xf numFmtId="3" fontId="2" fillId="2" borderId="0" xfId="0" applyNumberFormat="1" applyFont="1" applyFill="1" applyAlignment="1">
      <alignment horizontal="center"/>
    </xf>
    <xf numFmtId="4" fontId="2" fillId="2" borderId="0" xfId="0" applyNumberFormat="1" applyFont="1" applyFill="1"/>
    <xf numFmtId="0" fontId="2" fillId="0" borderId="0" xfId="0" applyFont="1"/>
    <xf numFmtId="0" fontId="3" fillId="2" borderId="0" xfId="0" applyFont="1" applyFill="1"/>
    <xf numFmtId="0" fontId="5" fillId="2" borderId="0" xfId="2" applyFont="1" applyFill="1" applyAlignment="1">
      <alignment horizontal="center"/>
    </xf>
    <xf numFmtId="0" fontId="6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/>
    <xf numFmtId="0" fontId="7" fillId="2" borderId="0" xfId="0" applyFont="1" applyFill="1" applyAlignment="1">
      <alignment horizontal="center"/>
    </xf>
    <xf numFmtId="164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0" fontId="5" fillId="2" borderId="0" xfId="0" applyFont="1" applyFill="1"/>
    <xf numFmtId="0" fontId="8" fillId="0" borderId="0" xfId="0" applyFont="1"/>
    <xf numFmtId="3" fontId="3" fillId="0" borderId="0" xfId="0" applyNumberFormat="1" applyFont="1" applyAlignment="1">
      <alignment horizontal="left"/>
    </xf>
    <xf numFmtId="4" fontId="9" fillId="2" borderId="0" xfId="0" applyNumberFormat="1" applyFont="1" applyFill="1"/>
    <xf numFmtId="4" fontId="10" fillId="0" borderId="0" xfId="0" applyNumberFormat="1" applyFont="1"/>
    <xf numFmtId="4" fontId="3" fillId="0" borderId="0" xfId="0" applyNumberFormat="1" applyFont="1" applyAlignment="1">
      <alignment horizontal="left"/>
    </xf>
    <xf numFmtId="4" fontId="11" fillId="2" borderId="0" xfId="0" applyNumberFormat="1" applyFont="1" applyFill="1" applyAlignment="1">
      <alignment horizontal="center"/>
    </xf>
    <xf numFmtId="4" fontId="11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 vertical="center"/>
    </xf>
    <xf numFmtId="4" fontId="13" fillId="0" borderId="0" xfId="3" applyNumberFormat="1" applyFont="1" applyAlignment="1">
      <alignment horizontal="left"/>
    </xf>
    <xf numFmtId="0" fontId="3" fillId="0" borderId="0" xfId="0" applyFont="1" applyAlignment="1">
      <alignment horizontal="left"/>
    </xf>
    <xf numFmtId="4" fontId="14" fillId="0" borderId="0" xfId="3" applyNumberFormat="1" applyFont="1" applyAlignment="1">
      <alignment horizontal="left"/>
    </xf>
    <xf numFmtId="0" fontId="6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/>
    <xf numFmtId="0" fontId="12" fillId="3" borderId="2" xfId="3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/>
    </xf>
    <xf numFmtId="0" fontId="6" fillId="0" borderId="10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4" fontId="6" fillId="0" borderId="11" xfId="0" applyNumberFormat="1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/>
    <xf numFmtId="0" fontId="3" fillId="0" borderId="14" xfId="0" applyFont="1" applyBorder="1"/>
    <xf numFmtId="3" fontId="3" fillId="0" borderId="14" xfId="0" applyNumberFormat="1" applyFont="1" applyBorder="1" applyAlignment="1">
      <alignment horizontal="center"/>
    </xf>
    <xf numFmtId="4" fontId="6" fillId="0" borderId="15" xfId="0" applyNumberFormat="1" applyFont="1" applyBorder="1"/>
    <xf numFmtId="0" fontId="3" fillId="0" borderId="10" xfId="0" applyFont="1" applyBorder="1"/>
    <xf numFmtId="4" fontId="3" fillId="0" borderId="11" xfId="0" applyNumberFormat="1" applyFont="1" applyBorder="1"/>
    <xf numFmtId="0" fontId="6" fillId="0" borderId="16" xfId="0" applyFont="1" applyBorder="1"/>
    <xf numFmtId="0" fontId="6" fillId="0" borderId="17" xfId="0" applyFont="1" applyBorder="1"/>
    <xf numFmtId="0" fontId="3" fillId="0" borderId="18" xfId="0" applyFont="1" applyBorder="1"/>
    <xf numFmtId="0" fontId="3" fillId="0" borderId="17" xfId="0" applyFont="1" applyBorder="1"/>
    <xf numFmtId="3" fontId="6" fillId="0" borderId="18" xfId="0" applyNumberFormat="1" applyFont="1" applyBorder="1" applyAlignment="1">
      <alignment horizontal="center"/>
    </xf>
    <xf numFmtId="4" fontId="6" fillId="0" borderId="19" xfId="0" applyNumberFormat="1" applyFont="1" applyBorder="1"/>
    <xf numFmtId="4" fontId="6" fillId="0" borderId="0" xfId="0" applyNumberFormat="1" applyFont="1"/>
    <xf numFmtId="0" fontId="6" fillId="0" borderId="20" xfId="0" applyFont="1" applyBorder="1"/>
    <xf numFmtId="0" fontId="6" fillId="0" borderId="21" xfId="0" applyFont="1" applyBorder="1"/>
    <xf numFmtId="3" fontId="6" fillId="0" borderId="0" xfId="0" applyNumberFormat="1" applyFont="1" applyAlignment="1">
      <alignment horizontal="center"/>
    </xf>
    <xf numFmtId="4" fontId="6" fillId="0" borderId="11" xfId="0" applyNumberFormat="1" applyFont="1" applyBorder="1"/>
    <xf numFmtId="0" fontId="13" fillId="0" borderId="22" xfId="3" applyFont="1" applyBorder="1"/>
    <xf numFmtId="0" fontId="3" fillId="0" borderId="0" xfId="0" applyFont="1" applyAlignment="1">
      <alignment horizontal="center"/>
    </xf>
    <xf numFmtId="0" fontId="15" fillId="0" borderId="22" xfId="0" applyFont="1" applyBorder="1" applyAlignment="1">
      <alignment horizontal="center"/>
    </xf>
    <xf numFmtId="4" fontId="3" fillId="0" borderId="22" xfId="0" applyNumberFormat="1" applyFont="1" applyBorder="1"/>
    <xf numFmtId="0" fontId="3" fillId="0" borderId="22" xfId="0" applyFont="1" applyBorder="1"/>
    <xf numFmtId="0" fontId="6" fillId="0" borderId="22" xfId="0" applyFont="1" applyBorder="1"/>
    <xf numFmtId="0" fontId="16" fillId="0" borderId="22" xfId="0" applyFont="1" applyBorder="1" applyAlignment="1">
      <alignment horizontal="center"/>
    </xf>
    <xf numFmtId="3" fontId="6" fillId="0" borderId="11" xfId="0" applyNumberFormat="1" applyFont="1" applyBorder="1"/>
    <xf numFmtId="0" fontId="13" fillId="0" borderId="22" xfId="2" applyFont="1" applyBorder="1"/>
    <xf numFmtId="0" fontId="13" fillId="0" borderId="0" xfId="2" applyFont="1" applyAlignment="1">
      <alignment horizontal="center"/>
    </xf>
    <xf numFmtId="0" fontId="17" fillId="0" borderId="22" xfId="2" applyFont="1" applyBorder="1" applyAlignment="1">
      <alignment horizontal="center"/>
    </xf>
    <xf numFmtId="3" fontId="13" fillId="0" borderId="0" xfId="2" applyNumberFormat="1" applyFont="1" applyAlignment="1">
      <alignment horizontal="center"/>
    </xf>
    <xf numFmtId="0" fontId="18" fillId="0" borderId="22" xfId="0" applyFont="1" applyBorder="1"/>
    <xf numFmtId="0" fontId="2" fillId="0" borderId="22" xfId="0" applyFont="1" applyBorder="1"/>
    <xf numFmtId="0" fontId="3" fillId="0" borderId="23" xfId="0" applyFont="1" applyBorder="1"/>
    <xf numFmtId="0" fontId="19" fillId="0" borderId="24" xfId="0" applyFont="1" applyBorder="1"/>
    <xf numFmtId="0" fontId="3" fillId="0" borderId="25" xfId="0" applyFont="1" applyBorder="1"/>
    <xf numFmtId="0" fontId="3" fillId="0" borderId="24" xfId="0" applyFont="1" applyBorder="1"/>
    <xf numFmtId="3" fontId="3" fillId="0" borderId="25" xfId="0" applyNumberFormat="1" applyFont="1" applyBorder="1" applyAlignment="1">
      <alignment horizontal="center"/>
    </xf>
    <xf numFmtId="4" fontId="3" fillId="0" borderId="24" xfId="0" applyNumberFormat="1" applyFont="1" applyBorder="1"/>
    <xf numFmtId="4" fontId="3" fillId="0" borderId="26" xfId="0" applyNumberFormat="1" applyFont="1" applyBorder="1"/>
    <xf numFmtId="0" fontId="6" fillId="0" borderId="27" xfId="0" applyFont="1" applyBorder="1"/>
    <xf numFmtId="0" fontId="6" fillId="0" borderId="18" xfId="0" applyFont="1" applyBorder="1"/>
    <xf numFmtId="4" fontId="6" fillId="0" borderId="18" xfId="0" applyNumberFormat="1" applyFont="1" applyBorder="1" applyAlignment="1">
      <alignment horizontal="center"/>
    </xf>
    <xf numFmtId="0" fontId="3" fillId="0" borderId="28" xfId="0" applyFont="1" applyBorder="1"/>
    <xf numFmtId="0" fontId="3" fillId="0" borderId="29" xfId="0" applyFont="1" applyBorder="1"/>
    <xf numFmtId="0" fontId="15" fillId="0" borderId="29" xfId="0" applyFont="1" applyBorder="1"/>
    <xf numFmtId="0" fontId="15" fillId="0" borderId="29" xfId="0" applyFont="1" applyBorder="1" applyAlignment="1">
      <alignment horizontal="center"/>
    </xf>
    <xf numFmtId="3" fontId="3" fillId="0" borderId="29" xfId="0" applyNumberFormat="1" applyFont="1" applyBorder="1" applyAlignment="1">
      <alignment horizontal="center"/>
    </xf>
    <xf numFmtId="4" fontId="13" fillId="0" borderId="30" xfId="3" applyNumberFormat="1" applyFont="1" applyBorder="1" applyAlignment="1">
      <alignment horizontal="right"/>
    </xf>
    <xf numFmtId="0" fontId="3" fillId="0" borderId="31" xfId="0" applyFont="1" applyBorder="1"/>
    <xf numFmtId="0" fontId="3" fillId="0" borderId="32" xfId="0" applyFont="1" applyBorder="1"/>
    <xf numFmtId="0" fontId="15" fillId="0" borderId="32" xfId="0" applyFont="1" applyBorder="1"/>
    <xf numFmtId="3" fontId="3" fillId="0" borderId="32" xfId="0" applyNumberFormat="1" applyFont="1" applyBorder="1" applyAlignment="1">
      <alignment horizontal="center"/>
    </xf>
    <xf numFmtId="0" fontId="15" fillId="0" borderId="0" xfId="0" applyFont="1"/>
    <xf numFmtId="0" fontId="16" fillId="0" borderId="18" xfId="0" applyFont="1" applyBorder="1"/>
    <xf numFmtId="0" fontId="6" fillId="0" borderId="28" xfId="0" applyFont="1" applyBorder="1"/>
    <xf numFmtId="0" fontId="16" fillId="0" borderId="29" xfId="0" applyFont="1" applyBorder="1"/>
    <xf numFmtId="4" fontId="6" fillId="0" borderId="29" xfId="0" applyNumberFormat="1" applyFont="1" applyBorder="1" applyAlignment="1">
      <alignment horizontal="center"/>
    </xf>
    <xf numFmtId="0" fontId="6" fillId="0" borderId="29" xfId="0" applyFont="1" applyBorder="1"/>
    <xf numFmtId="0" fontId="3" fillId="0" borderId="22" xfId="0" applyFont="1" applyBorder="1" applyAlignment="1">
      <alignment horizontal="center"/>
    </xf>
    <xf numFmtId="3" fontId="2" fillId="0" borderId="29" xfId="0" applyNumberFormat="1" applyFont="1" applyBorder="1" applyAlignment="1">
      <alignment horizontal="center"/>
    </xf>
    <xf numFmtId="4" fontId="2" fillId="0" borderId="29" xfId="0" applyNumberFormat="1" applyFont="1" applyBorder="1"/>
    <xf numFmtId="0" fontId="6" fillId="0" borderId="22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21" fillId="0" borderId="0" xfId="4" applyFont="1"/>
    <xf numFmtId="0" fontId="22" fillId="0" borderId="0" xfId="4" applyFont="1" applyAlignment="1">
      <alignment horizontal="center"/>
    </xf>
    <xf numFmtId="0" fontId="13" fillId="0" borderId="0" xfId="5" applyFont="1"/>
    <xf numFmtId="0" fontId="21" fillId="0" borderId="0" xfId="4" applyFont="1" applyAlignment="1">
      <alignment horizontal="center"/>
    </xf>
    <xf numFmtId="2" fontId="21" fillId="0" borderId="0" xfId="4" applyNumberFormat="1" applyFont="1" applyAlignment="1">
      <alignment horizontal="center"/>
    </xf>
    <xf numFmtId="164" fontId="3" fillId="0" borderId="29" xfId="0" applyNumberFormat="1" applyFont="1" applyBorder="1" applyAlignment="1">
      <alignment horizontal="center"/>
    </xf>
    <xf numFmtId="4" fontId="3" fillId="0" borderId="29" xfId="0" applyNumberFormat="1" applyFont="1" applyBorder="1"/>
    <xf numFmtId="2" fontId="3" fillId="0" borderId="29" xfId="0" applyNumberFormat="1" applyFont="1" applyBorder="1"/>
    <xf numFmtId="0" fontId="12" fillId="0" borderId="0" xfId="3" applyFont="1"/>
    <xf numFmtId="0" fontId="6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" fontId="3" fillId="0" borderId="29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4" fontId="3" fillId="0" borderId="33" xfId="0" applyNumberFormat="1" applyFont="1" applyBorder="1"/>
    <xf numFmtId="0" fontId="13" fillId="0" borderId="34" xfId="3" applyFont="1" applyBorder="1"/>
    <xf numFmtId="0" fontId="13" fillId="0" borderId="34" xfId="3" applyFont="1" applyBorder="1" applyAlignment="1">
      <alignment horizontal="center"/>
    </xf>
    <xf numFmtId="3" fontId="13" fillId="0" borderId="34" xfId="3" applyNumberFormat="1" applyFont="1" applyBorder="1" applyAlignment="1">
      <alignment horizontal="center"/>
    </xf>
    <xf numFmtId="2" fontId="13" fillId="0" borderId="34" xfId="3" applyNumberFormat="1" applyFont="1" applyBorder="1"/>
    <xf numFmtId="0" fontId="3" fillId="0" borderId="20" xfId="0" applyFont="1" applyBorder="1"/>
    <xf numFmtId="0" fontId="3" fillId="0" borderId="35" xfId="0" applyFont="1" applyBorder="1"/>
    <xf numFmtId="0" fontId="3" fillId="0" borderId="36" xfId="0" applyFont="1" applyBorder="1"/>
    <xf numFmtId="0" fontId="3" fillId="0" borderId="37" xfId="0" applyFont="1" applyBorder="1"/>
    <xf numFmtId="3" fontId="3" fillId="0" borderId="37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38" xfId="0" applyFont="1" applyBorder="1"/>
    <xf numFmtId="0" fontId="6" fillId="0" borderId="39" xfId="0" applyFont="1" applyBorder="1"/>
    <xf numFmtId="0" fontId="6" fillId="0" borderId="25" xfId="0" applyFont="1" applyBorder="1"/>
    <xf numFmtId="3" fontId="6" fillId="0" borderId="25" xfId="0" applyNumberFormat="1" applyFont="1" applyBorder="1" applyAlignment="1">
      <alignment horizontal="center"/>
    </xf>
    <xf numFmtId="4" fontId="6" fillId="0" borderId="26" xfId="0" applyNumberFormat="1" applyFont="1" applyBorder="1"/>
    <xf numFmtId="0" fontId="3" fillId="0" borderId="16" xfId="0" applyFont="1" applyBorder="1"/>
    <xf numFmtId="0" fontId="13" fillId="0" borderId="30" xfId="3" applyFont="1" applyBorder="1"/>
    <xf numFmtId="9" fontId="13" fillId="0" borderId="17" xfId="3" applyNumberFormat="1" applyFont="1" applyBorder="1" applyAlignment="1">
      <alignment horizontal="center"/>
    </xf>
    <xf numFmtId="0" fontId="13" fillId="0" borderId="40" xfId="3" applyFont="1" applyBorder="1" applyAlignment="1">
      <alignment horizontal="center"/>
    </xf>
    <xf numFmtId="4" fontId="13" fillId="0" borderId="40" xfId="3" applyNumberFormat="1" applyFont="1" applyBorder="1"/>
    <xf numFmtId="9" fontId="13" fillId="0" borderId="29" xfId="3" applyNumberFormat="1" applyFont="1" applyBorder="1" applyAlignment="1">
      <alignment horizontal="center"/>
    </xf>
    <xf numFmtId="0" fontId="13" fillId="0" borderId="22" xfId="3" applyFont="1" applyBorder="1" applyAlignment="1">
      <alignment horizontal="center"/>
    </xf>
    <xf numFmtId="4" fontId="13" fillId="0" borderId="22" xfId="3" applyNumberFormat="1" applyFont="1" applyBorder="1"/>
    <xf numFmtId="4" fontId="3" fillId="0" borderId="41" xfId="0" applyNumberFormat="1" applyFont="1" applyBorder="1"/>
    <xf numFmtId="0" fontId="3" fillId="0" borderId="28" xfId="0" applyFont="1" applyBorder="1" applyAlignment="1">
      <alignment horizontal="left"/>
    </xf>
    <xf numFmtId="2" fontId="13" fillId="0" borderId="22" xfId="3" applyNumberFormat="1" applyFont="1" applyBorder="1" applyAlignment="1">
      <alignment horizontal="center"/>
    </xf>
    <xf numFmtId="3" fontId="3" fillId="0" borderId="42" xfId="0" applyNumberFormat="1" applyFont="1" applyBorder="1" applyAlignment="1">
      <alignment horizontal="center"/>
    </xf>
    <xf numFmtId="0" fontId="3" fillId="0" borderId="42" xfId="0" applyFont="1" applyBorder="1"/>
    <xf numFmtId="4" fontId="3" fillId="0" borderId="43" xfId="0" applyNumberFormat="1" applyFont="1" applyBorder="1"/>
    <xf numFmtId="0" fontId="6" fillId="0" borderId="37" xfId="0" applyFont="1" applyBorder="1"/>
    <xf numFmtId="3" fontId="6" fillId="0" borderId="37" xfId="0" applyNumberFormat="1" applyFont="1" applyBorder="1" applyAlignment="1">
      <alignment horizontal="center"/>
    </xf>
    <xf numFmtId="4" fontId="6" fillId="0" borderId="16" xfId="0" applyNumberFormat="1" applyFont="1" applyBorder="1"/>
    <xf numFmtId="0" fontId="6" fillId="0" borderId="23" xfId="0" applyFont="1" applyBorder="1"/>
    <xf numFmtId="4" fontId="6" fillId="0" borderId="31" xfId="0" applyNumberFormat="1" applyFont="1" applyBorder="1"/>
    <xf numFmtId="3" fontId="18" fillId="0" borderId="0" xfId="5" applyNumberFormat="1" applyFont="1" applyAlignment="1">
      <alignment horizontal="center"/>
    </xf>
    <xf numFmtId="4" fontId="13" fillId="0" borderId="0" xfId="5" applyNumberFormat="1" applyFont="1"/>
    <xf numFmtId="0" fontId="18" fillId="0" borderId="0" xfId="5" applyFont="1" applyAlignment="1">
      <alignment horizontal="center"/>
    </xf>
    <xf numFmtId="4" fontId="6" fillId="0" borderId="0" xfId="0" applyNumberFormat="1" applyFont="1" applyAlignment="1">
      <alignment horizontal="center"/>
    </xf>
    <xf numFmtId="166" fontId="1" fillId="0" borderId="0" xfId="1" applyFill="1"/>
    <xf numFmtId="0" fontId="13" fillId="0" borderId="0" xfId="3" applyFont="1" applyAlignment="1">
      <alignment horizontal="left"/>
    </xf>
    <xf numFmtId="4" fontId="12" fillId="0" borderId="0" xfId="3" applyNumberFormat="1" applyFont="1" applyAlignment="1">
      <alignment horizontal="center"/>
    </xf>
    <xf numFmtId="0" fontId="18" fillId="0" borderId="0" xfId="3" applyFont="1" applyAlignment="1">
      <alignment horizontal="center"/>
    </xf>
    <xf numFmtId="0" fontId="13" fillId="0" borderId="0" xfId="3" applyFont="1"/>
    <xf numFmtId="4" fontId="6" fillId="0" borderId="28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25" fillId="4" borderId="20" xfId="0" applyFont="1" applyFill="1" applyBorder="1"/>
    <xf numFmtId="0" fontId="25" fillId="4" borderId="37" xfId="0" applyFont="1" applyFill="1" applyBorder="1"/>
    <xf numFmtId="0" fontId="25" fillId="4" borderId="37" xfId="0" applyFont="1" applyFill="1" applyBorder="1" applyAlignment="1">
      <alignment horizontal="right"/>
    </xf>
    <xf numFmtId="0" fontId="25" fillId="4" borderId="33" xfId="0" applyFont="1" applyFill="1" applyBorder="1" applyAlignment="1">
      <alignment horizontal="right"/>
    </xf>
    <xf numFmtId="0" fontId="25" fillId="4" borderId="10" xfId="0" applyFont="1" applyFill="1" applyBorder="1"/>
    <xf numFmtId="0" fontId="25" fillId="4" borderId="0" xfId="0" applyFont="1" applyFill="1"/>
    <xf numFmtId="0" fontId="25" fillId="4" borderId="11" xfId="0" applyFont="1" applyFill="1" applyBorder="1" applyAlignment="1">
      <alignment horizontal="right"/>
    </xf>
    <xf numFmtId="0" fontId="0" fillId="4" borderId="10" xfId="0" applyFill="1" applyBorder="1"/>
    <xf numFmtId="0" fontId="0" fillId="4" borderId="0" xfId="0" applyFill="1"/>
    <xf numFmtId="2" fontId="0" fillId="4" borderId="11" xfId="0" applyNumberFormat="1" applyFill="1" applyBorder="1"/>
    <xf numFmtId="0" fontId="1" fillId="4" borderId="10" xfId="0" applyFont="1" applyFill="1" applyBorder="1"/>
    <xf numFmtId="0" fontId="0" fillId="4" borderId="10" xfId="0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2" fontId="0" fillId="4" borderId="0" xfId="0" applyNumberFormat="1" applyFill="1"/>
    <xf numFmtId="0" fontId="0" fillId="4" borderId="10" xfId="0" applyFill="1" applyBorder="1" applyAlignment="1">
      <alignment horizontal="left"/>
    </xf>
    <xf numFmtId="0" fontId="1" fillId="4" borderId="0" xfId="0" applyFont="1" applyFill="1"/>
    <xf numFmtId="0" fontId="0" fillId="4" borderId="23" xfId="0" applyFill="1" applyBorder="1"/>
    <xf numFmtId="0" fontId="0" fillId="4" borderId="25" xfId="0" applyFill="1" applyBorder="1"/>
    <xf numFmtId="2" fontId="0" fillId="4" borderId="26" xfId="0" applyNumberFormat="1" applyFill="1" applyBorder="1"/>
    <xf numFmtId="4" fontId="0" fillId="4" borderId="0" xfId="0" applyNumberFormat="1" applyFill="1"/>
    <xf numFmtId="0" fontId="6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4" fontId="9" fillId="2" borderId="0" xfId="0" applyNumberFormat="1" applyFont="1" applyFill="1" applyAlignment="1">
      <alignment horizontal="center"/>
    </xf>
    <xf numFmtId="0" fontId="12" fillId="0" borderId="0" xfId="3" applyFont="1" applyAlignment="1">
      <alignment horizontal="left"/>
    </xf>
    <xf numFmtId="4" fontId="12" fillId="0" borderId="0" xfId="3" applyNumberFormat="1" applyFont="1" applyAlignment="1">
      <alignment horizontal="center"/>
    </xf>
    <xf numFmtId="0" fontId="12" fillId="3" borderId="1" xfId="3" applyFont="1" applyFill="1" applyBorder="1" applyAlignment="1">
      <alignment horizontal="center" vertical="center"/>
    </xf>
    <xf numFmtId="0" fontId="12" fillId="3" borderId="4" xfId="3" applyFont="1" applyFill="1" applyBorder="1" applyAlignment="1">
      <alignment horizontal="center" vertical="center"/>
    </xf>
    <xf numFmtId="0" fontId="12" fillId="3" borderId="7" xfId="3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5" xfId="3" applyFont="1" applyFill="1" applyBorder="1" applyAlignment="1">
      <alignment horizontal="center" vertical="center"/>
    </xf>
    <xf numFmtId="0" fontId="12" fillId="3" borderId="8" xfId="3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/>
    </xf>
    <xf numFmtId="3" fontId="12" fillId="3" borderId="2" xfId="3" applyNumberFormat="1" applyFont="1" applyFill="1" applyBorder="1" applyAlignment="1">
      <alignment horizontal="center" vertical="center" wrapText="1"/>
    </xf>
    <xf numFmtId="3" fontId="12" fillId="3" borderId="5" xfId="3" applyNumberFormat="1" applyFont="1" applyFill="1" applyBorder="1" applyAlignment="1">
      <alignment horizontal="center" vertical="center" wrapText="1"/>
    </xf>
    <xf numFmtId="3" fontId="12" fillId="3" borderId="8" xfId="3" applyNumberFormat="1" applyFont="1" applyFill="1" applyBorder="1" applyAlignment="1">
      <alignment horizontal="center" vertical="center" wrapText="1"/>
    </xf>
    <xf numFmtId="4" fontId="12" fillId="3" borderId="3" xfId="3" applyNumberFormat="1" applyFont="1" applyFill="1" applyBorder="1" applyAlignment="1">
      <alignment horizontal="center" vertical="center" wrapText="1"/>
    </xf>
    <xf numFmtId="4" fontId="12" fillId="3" borderId="6" xfId="3" applyNumberFormat="1" applyFont="1" applyFill="1" applyBorder="1" applyAlignment="1">
      <alignment horizontal="center" vertical="center" wrapText="1"/>
    </xf>
    <xf numFmtId="4" fontId="12" fillId="3" borderId="9" xfId="3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4" fillId="0" borderId="0" xfId="4" applyFont="1" applyAlignment="1">
      <alignment horizontal="center"/>
    </xf>
    <xf numFmtId="0" fontId="26" fillId="5" borderId="0" xfId="0" applyFont="1" applyFill="1" applyAlignment="1">
      <alignment horizontal="centerContinuous"/>
    </xf>
    <xf numFmtId="2" fontId="26" fillId="5" borderId="0" xfId="0" applyNumberFormat="1" applyFont="1" applyFill="1" applyAlignment="1">
      <alignment horizontal="centerContinuous"/>
    </xf>
    <xf numFmtId="2" fontId="0" fillId="5" borderId="0" xfId="0" applyNumberFormat="1" applyFill="1"/>
    <xf numFmtId="4" fontId="0" fillId="5" borderId="0" xfId="0" applyNumberFormat="1" applyFill="1" applyAlignment="1">
      <alignment horizontal="center"/>
    </xf>
    <xf numFmtId="0" fontId="27" fillId="5" borderId="0" xfId="0" applyFont="1" applyFill="1" applyAlignment="1">
      <alignment horizontal="left"/>
    </xf>
    <xf numFmtId="0" fontId="25" fillId="5" borderId="44" xfId="0" applyFont="1" applyFill="1" applyBorder="1" applyAlignment="1">
      <alignment horizontal="centerContinuous"/>
    </xf>
    <xf numFmtId="2" fontId="25" fillId="5" borderId="44" xfId="0" applyNumberFormat="1" applyFont="1" applyFill="1" applyBorder="1" applyAlignment="1">
      <alignment horizontal="centerContinuous"/>
    </xf>
    <xf numFmtId="4" fontId="0" fillId="5" borderId="44" xfId="0" applyNumberFormat="1" applyFill="1" applyBorder="1" applyAlignment="1">
      <alignment horizontal="center"/>
    </xf>
    <xf numFmtId="2" fontId="0" fillId="5" borderId="44" xfId="0" applyNumberFormat="1" applyFill="1" applyBorder="1" applyAlignment="1">
      <alignment horizontal="centerContinuous"/>
    </xf>
    <xf numFmtId="0" fontId="0" fillId="5" borderId="0" xfId="0" applyFill="1"/>
    <xf numFmtId="0" fontId="28" fillId="5" borderId="0" xfId="0" applyFont="1" applyFill="1"/>
    <xf numFmtId="0" fontId="29" fillId="5" borderId="0" xfId="0" applyFont="1" applyFill="1" applyAlignment="1">
      <alignment horizontal="left"/>
    </xf>
    <xf numFmtId="0" fontId="30" fillId="5" borderId="0" xfId="0" applyFont="1" applyFill="1"/>
    <xf numFmtId="0" fontId="0" fillId="5" borderId="0" xfId="0" applyFill="1" applyAlignment="1">
      <alignment horizontal="left"/>
    </xf>
    <xf numFmtId="2" fontId="0" fillId="5" borderId="0" xfId="0" applyNumberFormat="1" applyFill="1" applyAlignment="1">
      <alignment horizontal="left"/>
    </xf>
    <xf numFmtId="0" fontId="31" fillId="5" borderId="0" xfId="0" applyFont="1" applyFill="1" applyAlignment="1">
      <alignment horizontal="center"/>
    </xf>
    <xf numFmtId="0" fontId="32" fillId="5" borderId="0" xfId="0" applyFont="1" applyFill="1"/>
    <xf numFmtId="167" fontId="0" fillId="5" borderId="0" xfId="0" applyNumberFormat="1" applyFill="1"/>
    <xf numFmtId="0" fontId="33" fillId="5" borderId="0" xfId="0" applyFont="1" applyFill="1" applyAlignment="1">
      <alignment horizontal="center"/>
    </xf>
    <xf numFmtId="0" fontId="25" fillId="5" borderId="0" xfId="0" applyFont="1" applyFill="1" applyAlignment="1">
      <alignment horizontal="center"/>
    </xf>
    <xf numFmtId="168" fontId="34" fillId="5" borderId="0" xfId="0" applyNumberFormat="1" applyFont="1" applyFill="1" applyAlignment="1">
      <alignment horizontal="left"/>
    </xf>
    <xf numFmtId="0" fontId="34" fillId="5" borderId="0" xfId="0" applyFont="1" applyFill="1"/>
    <xf numFmtId="0" fontId="35" fillId="5" borderId="0" xfId="0" applyFont="1" applyFill="1"/>
    <xf numFmtId="0" fontId="25" fillId="5" borderId="0" xfId="0" applyFont="1" applyFill="1"/>
    <xf numFmtId="1" fontId="34" fillId="5" borderId="0" xfId="0" applyNumberFormat="1" applyFont="1" applyFill="1" applyAlignment="1">
      <alignment horizontal="center"/>
    </xf>
    <xf numFmtId="0" fontId="33" fillId="5" borderId="0" xfId="0" applyFont="1" applyFill="1" applyAlignment="1">
      <alignment horizontal="center"/>
    </xf>
    <xf numFmtId="4" fontId="0" fillId="5" borderId="44" xfId="0" applyNumberFormat="1" applyFill="1" applyBorder="1" applyAlignment="1">
      <alignment horizontal="left"/>
    </xf>
    <xf numFmtId="4" fontId="0" fillId="0" borderId="44" xfId="0" applyNumberFormat="1" applyBorder="1"/>
    <xf numFmtId="0" fontId="25" fillId="4" borderId="0" xfId="0" applyFont="1" applyFill="1" applyBorder="1"/>
    <xf numFmtId="4" fontId="25" fillId="4" borderId="0" xfId="0" applyNumberFormat="1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0" fontId="1" fillId="4" borderId="0" xfId="0" applyFont="1" applyFill="1" applyBorder="1"/>
    <xf numFmtId="4" fontId="0" fillId="4" borderId="0" xfId="0" applyNumberFormat="1" applyFill="1" applyBorder="1"/>
    <xf numFmtId="0" fontId="25" fillId="4" borderId="45" xfId="0" applyFont="1" applyFill="1" applyBorder="1"/>
    <xf numFmtId="0" fontId="25" fillId="4" borderId="46" xfId="0" applyFont="1" applyFill="1" applyBorder="1"/>
    <xf numFmtId="0" fontId="25" fillId="4" borderId="46" xfId="0" applyFont="1" applyFill="1" applyBorder="1" applyAlignment="1">
      <alignment horizontal="right"/>
    </xf>
    <xf numFmtId="0" fontId="25" fillId="4" borderId="47" xfId="0" applyFont="1" applyFill="1" applyBorder="1" applyAlignment="1">
      <alignment horizontal="right"/>
    </xf>
    <xf numFmtId="0" fontId="25" fillId="4" borderId="48" xfId="0" applyFont="1" applyFill="1" applyBorder="1"/>
    <xf numFmtId="0" fontId="25" fillId="4" borderId="29" xfId="0" applyFont="1" applyFill="1" applyBorder="1" applyAlignment="1">
      <alignment horizontal="right"/>
    </xf>
    <xf numFmtId="0" fontId="0" fillId="4" borderId="48" xfId="0" applyFill="1" applyBorder="1"/>
    <xf numFmtId="2" fontId="0" fillId="4" borderId="29" xfId="0" applyNumberFormat="1" applyFill="1" applyBorder="1"/>
    <xf numFmtId="0" fontId="1" fillId="4" borderId="48" xfId="0" applyFont="1" applyFill="1" applyBorder="1"/>
    <xf numFmtId="0" fontId="0" fillId="4" borderId="48" xfId="0" applyFill="1" applyBorder="1" applyAlignment="1">
      <alignment horizontal="center"/>
    </xf>
    <xf numFmtId="0" fontId="1" fillId="4" borderId="48" xfId="0" applyFont="1" applyFill="1" applyBorder="1" applyAlignment="1">
      <alignment horizontal="left"/>
    </xf>
    <xf numFmtId="0" fontId="0" fillId="4" borderId="48" xfId="0" applyFill="1" applyBorder="1" applyAlignment="1">
      <alignment horizontal="left"/>
    </xf>
    <xf numFmtId="49" fontId="0" fillId="4" borderId="48" xfId="0" applyNumberFormat="1" applyFill="1" applyBorder="1"/>
    <xf numFmtId="49" fontId="1" fillId="4" borderId="48" xfId="0" applyNumberFormat="1" applyFont="1" applyFill="1" applyBorder="1"/>
    <xf numFmtId="49" fontId="0" fillId="4" borderId="49" xfId="0" applyNumberFormat="1" applyFill="1" applyBorder="1"/>
    <xf numFmtId="0" fontId="0" fillId="4" borderId="50" xfId="0" applyFill="1" applyBorder="1"/>
    <xf numFmtId="2" fontId="0" fillId="4" borderId="51" xfId="0" applyNumberFormat="1" applyFill="1" applyBorder="1"/>
  </cellXfs>
  <cellStyles count="6">
    <cellStyle name="Excel Built-in Normal" xfId="4" xr:uid="{F34F632F-625A-4DD9-BF93-4FA8731ABA62}"/>
    <cellStyle name="Millares" xfId="1" builtinId="3"/>
    <cellStyle name="Normal" xfId="0" builtinId="0"/>
    <cellStyle name="Normal 10" xfId="2" xr:uid="{7F0ABAC8-D20D-4F34-8A8C-122AB427F63E}"/>
    <cellStyle name="Normal 4" xfId="3" xr:uid="{8E64E854-9BFD-436A-8DD2-58A73E23B8EE}"/>
    <cellStyle name="Normal 6" xfId="5" xr:uid="{3AA1E343-1C6C-4874-B8CB-FBE839D13F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7</xdr:col>
      <xdr:colOff>6350</xdr:colOff>
      <xdr:row>9</xdr:row>
      <xdr:rowOff>25400</xdr:rowOff>
    </xdr:to>
    <xdr:pic>
      <xdr:nvPicPr>
        <xdr:cNvPr id="2" name="1 Imagen" descr="http://azp.mx/images/plantas/vaina-frijol.jpg">
          <a:extLst>
            <a:ext uri="{FF2B5EF4-FFF2-40B4-BE49-F238E27FC236}">
              <a16:creationId xmlns:a16="http://schemas.microsoft.com/office/drawing/2014/main" id="{C6FB6420-5DFA-4A25-AE16-B20EE34A7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0"/>
          <a:ext cx="2209800" cy="144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708660</xdr:colOff>
      <xdr:row>161</xdr:row>
      <xdr:rowOff>68580</xdr:rowOff>
    </xdr:from>
    <xdr:to>
      <xdr:col>1</xdr:col>
      <xdr:colOff>708660</xdr:colOff>
      <xdr:row>184</xdr:row>
      <xdr:rowOff>76200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F99D2BD8-0D17-45C0-9735-40DC1C3CD0FC}"/>
            </a:ext>
          </a:extLst>
        </xdr:cNvPr>
        <xdr:cNvSpPr>
          <a:spLocks noChangeShapeType="1"/>
        </xdr:cNvSpPr>
      </xdr:nvSpPr>
      <xdr:spPr bwMode="auto">
        <a:xfrm flipH="1" flipV="1">
          <a:off x="708660" y="17998440"/>
          <a:ext cx="0" cy="386334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666699" mc:Ignorable="a14" a14:legacySpreadsheetColorIndex="5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708660</xdr:colOff>
      <xdr:row>184</xdr:row>
      <xdr:rowOff>91440</xdr:rowOff>
    </xdr:from>
    <xdr:to>
      <xdr:col>4</xdr:col>
      <xdr:colOff>685800</xdr:colOff>
      <xdr:row>184</xdr:row>
      <xdr:rowOff>91440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238DAADE-886C-4B5E-9C1F-88A55E83505D}"/>
            </a:ext>
          </a:extLst>
        </xdr:cNvPr>
        <xdr:cNvSpPr>
          <a:spLocks noChangeShapeType="1"/>
        </xdr:cNvSpPr>
      </xdr:nvSpPr>
      <xdr:spPr bwMode="auto">
        <a:xfrm>
          <a:off x="708660" y="21877020"/>
          <a:ext cx="425958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666699" mc:Ignorable="a14" a14:legacySpreadsheetColorIndex="5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624840</xdr:colOff>
      <xdr:row>162</xdr:row>
      <xdr:rowOff>91440</xdr:rowOff>
    </xdr:from>
    <xdr:to>
      <xdr:col>6</xdr:col>
      <xdr:colOff>449580</xdr:colOff>
      <xdr:row>184</xdr:row>
      <xdr:rowOff>76200</xdr:rowOff>
    </xdr:to>
    <xdr:grpSp>
      <xdr:nvGrpSpPr>
        <xdr:cNvPr id="5" name="Group 3">
          <a:extLst>
            <a:ext uri="{FF2B5EF4-FFF2-40B4-BE49-F238E27FC236}">
              <a16:creationId xmlns:a16="http://schemas.microsoft.com/office/drawing/2014/main" id="{E18A271B-58A1-4DAA-95A4-DF86C495BA3D}"/>
            </a:ext>
          </a:extLst>
        </xdr:cNvPr>
        <xdr:cNvGrpSpPr>
          <a:grpSpLocks/>
        </xdr:cNvGrpSpPr>
      </xdr:nvGrpSpPr>
      <xdr:grpSpPr bwMode="auto">
        <a:xfrm>
          <a:off x="937260" y="24765000"/>
          <a:ext cx="6073140" cy="3337560"/>
          <a:chOff x="68" y="1763"/>
          <a:chExt cx="410" cy="373"/>
        </a:xfrm>
      </xdr:grpSpPr>
      <xdr:sp macro="" textlink="">
        <xdr:nvSpPr>
          <xdr:cNvPr id="6" name="Line 4">
            <a:extLst>
              <a:ext uri="{FF2B5EF4-FFF2-40B4-BE49-F238E27FC236}">
                <a16:creationId xmlns:a16="http://schemas.microsoft.com/office/drawing/2014/main" id="{51CB394C-4C94-4289-AEAB-06FA750A4978}"/>
              </a:ext>
            </a:extLst>
          </xdr:cNvPr>
          <xdr:cNvSpPr>
            <a:spLocks noChangeShapeType="1"/>
          </xdr:cNvSpPr>
        </xdr:nvSpPr>
        <xdr:spPr bwMode="auto">
          <a:xfrm>
            <a:off x="252" y="1957"/>
            <a:ext cx="0" cy="179"/>
          </a:xfrm>
          <a:prstGeom prst="line">
            <a:avLst/>
          </a:prstGeom>
          <a:noFill/>
          <a:ln w="317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5">
            <a:extLst>
              <a:ext uri="{FF2B5EF4-FFF2-40B4-BE49-F238E27FC236}">
                <a16:creationId xmlns:a16="http://schemas.microsoft.com/office/drawing/2014/main" id="{6EF33855-19D4-419C-B98B-7573B3830A01}"/>
              </a:ext>
            </a:extLst>
          </xdr:cNvPr>
          <xdr:cNvSpPr>
            <a:spLocks noChangeShapeType="1"/>
          </xdr:cNvSpPr>
        </xdr:nvSpPr>
        <xdr:spPr bwMode="auto">
          <a:xfrm flipH="1">
            <a:off x="68" y="1952"/>
            <a:ext cx="184" cy="1"/>
          </a:xfrm>
          <a:prstGeom prst="line">
            <a:avLst/>
          </a:prstGeom>
          <a:noFill/>
          <a:ln w="317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8" name="Group 6">
            <a:extLst>
              <a:ext uri="{FF2B5EF4-FFF2-40B4-BE49-F238E27FC236}">
                <a16:creationId xmlns:a16="http://schemas.microsoft.com/office/drawing/2014/main" id="{A2C76AFB-5B60-4A85-B519-9296676DFA5F}"/>
              </a:ext>
            </a:extLst>
          </xdr:cNvPr>
          <xdr:cNvGrpSpPr>
            <a:grpSpLocks/>
          </xdr:cNvGrpSpPr>
        </xdr:nvGrpSpPr>
        <xdr:grpSpPr bwMode="auto">
          <a:xfrm>
            <a:off x="73" y="1763"/>
            <a:ext cx="405" cy="372"/>
            <a:chOff x="73" y="1763"/>
            <a:chExt cx="405" cy="372"/>
          </a:xfrm>
        </xdr:grpSpPr>
        <xdr:grpSp>
          <xdr:nvGrpSpPr>
            <xdr:cNvPr id="9" name="Group 7">
              <a:extLst>
                <a:ext uri="{FF2B5EF4-FFF2-40B4-BE49-F238E27FC236}">
                  <a16:creationId xmlns:a16="http://schemas.microsoft.com/office/drawing/2014/main" id="{0A10B211-03B7-4031-9B66-3EC1C6D5CE2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3" y="1763"/>
              <a:ext cx="405" cy="372"/>
              <a:chOff x="73" y="1763"/>
              <a:chExt cx="405" cy="372"/>
            </a:xfrm>
          </xdr:grpSpPr>
          <xdr:grpSp>
            <xdr:nvGrpSpPr>
              <xdr:cNvPr id="12" name="Group 8">
                <a:extLst>
                  <a:ext uri="{FF2B5EF4-FFF2-40B4-BE49-F238E27FC236}">
                    <a16:creationId xmlns:a16="http://schemas.microsoft.com/office/drawing/2014/main" id="{680010C9-ABBC-4F85-BC0C-52C9AAC28F6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73" y="1953"/>
                <a:ext cx="177" cy="182"/>
                <a:chOff x="73" y="1953"/>
                <a:chExt cx="177" cy="182"/>
              </a:xfrm>
            </xdr:grpSpPr>
            <xdr:sp macro="" textlink="">
              <xdr:nvSpPr>
                <xdr:cNvPr id="14" name="Freeform 9">
                  <a:extLst>
                    <a:ext uri="{FF2B5EF4-FFF2-40B4-BE49-F238E27FC236}">
                      <a16:creationId xmlns:a16="http://schemas.microsoft.com/office/drawing/2014/main" id="{A51757FF-ACC0-4C52-8527-378FAE5CD32A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73" y="1953"/>
                  <a:ext cx="177" cy="182"/>
                </a:xfrm>
                <a:custGeom>
                  <a:avLst/>
                  <a:gdLst>
                    <a:gd name="T0" fmla="*/ 1 w 171"/>
                    <a:gd name="T1" fmla="*/ 72 h 177"/>
                    <a:gd name="T2" fmla="*/ 267 w 171"/>
                    <a:gd name="T3" fmla="*/ 0 h 177"/>
                    <a:gd name="T4" fmla="*/ 0 w 171"/>
                    <a:gd name="T5" fmla="*/ 254 h 177"/>
                    <a:gd name="T6" fmla="*/ 1 w 171"/>
                    <a:gd name="T7" fmla="*/ 72 h 177"/>
                    <a:gd name="T8" fmla="*/ 0 60000 65536"/>
                    <a:gd name="T9" fmla="*/ 0 60000 65536"/>
                    <a:gd name="T10" fmla="*/ 0 60000 65536"/>
                    <a:gd name="T11" fmla="*/ 0 60000 65536"/>
                  </a:gdLst>
                  <a:ahLst/>
                  <a:cxnLst>
                    <a:cxn ang="T8">
                      <a:pos x="T0" y="T1"/>
                    </a:cxn>
                    <a:cxn ang="T9">
                      <a:pos x="T2" y="T3"/>
                    </a:cxn>
                    <a:cxn ang="T10">
                      <a:pos x="T4" y="T5"/>
                    </a:cxn>
                    <a:cxn ang="T11">
                      <a:pos x="T6" y="T7"/>
                    </a:cxn>
                  </a:cxnLst>
                  <a:rect l="0" t="0" r="r" b="b"/>
                  <a:pathLst>
                    <a:path w="171" h="177">
                      <a:moveTo>
                        <a:pt x="1" y="50"/>
                      </a:moveTo>
                      <a:lnTo>
                        <a:pt x="171" y="0"/>
                      </a:lnTo>
                      <a:lnTo>
                        <a:pt x="0" y="177"/>
                      </a:lnTo>
                      <a:lnTo>
                        <a:pt x="1" y="50"/>
                      </a:lnTo>
                      <a:close/>
                    </a:path>
                  </a:pathLst>
                </a:custGeom>
                <a:solidFill>
                  <a:srgbClr xmlns:mc="http://schemas.openxmlformats.org/markup-compatibility/2006" xmlns:a14="http://schemas.microsoft.com/office/drawing/2010/main" val="666699" mc:Ignorable="a14" a14:legacySpreadsheetColorIndex="54"/>
                </a:solidFill>
                <a:ln w="9525">
                  <a:solidFill>
                    <a:srgbClr xmlns:mc="http://schemas.openxmlformats.org/markup-compatibility/2006" xmlns:a14="http://schemas.microsoft.com/office/drawing/2010/main" val="339966" mc:Ignorable="a14" a14:legacySpreadsheetColorIndex="57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" name="Line 10">
                  <a:extLst>
                    <a:ext uri="{FF2B5EF4-FFF2-40B4-BE49-F238E27FC236}">
                      <a16:creationId xmlns:a16="http://schemas.microsoft.com/office/drawing/2014/main" id="{59D422C7-22A8-4B1B-93A8-C7D0588E4D8F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73" y="2005"/>
                  <a:ext cx="0" cy="71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333399" mc:Ignorable="a14" a14:legacySpreadsheetColorIndex="62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sp macro="" textlink="">
            <xdr:nvSpPr>
              <xdr:cNvPr id="13" name="Freeform 11">
                <a:extLst>
                  <a:ext uri="{FF2B5EF4-FFF2-40B4-BE49-F238E27FC236}">
                    <a16:creationId xmlns:a16="http://schemas.microsoft.com/office/drawing/2014/main" id="{E6309176-8F63-40EB-8C72-262B96192EC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52" y="1763"/>
                <a:ext cx="226" cy="190"/>
              </a:xfrm>
              <a:custGeom>
                <a:avLst/>
                <a:gdLst>
                  <a:gd name="T0" fmla="*/ 2 w 226"/>
                  <a:gd name="T1" fmla="*/ 190 h 190"/>
                  <a:gd name="T2" fmla="*/ 226 w 226"/>
                  <a:gd name="T3" fmla="*/ 127 h 190"/>
                  <a:gd name="T4" fmla="*/ 183 w 226"/>
                  <a:gd name="T5" fmla="*/ 0 h 190"/>
                  <a:gd name="T6" fmla="*/ 0 w 226"/>
                  <a:gd name="T7" fmla="*/ 190 h 190"/>
                  <a:gd name="T8" fmla="*/ 0 60000 65536"/>
                  <a:gd name="T9" fmla="*/ 0 60000 65536"/>
                  <a:gd name="T10" fmla="*/ 0 60000 65536"/>
                  <a:gd name="T11" fmla="*/ 0 60000 65536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0" t="0" r="r" b="b"/>
                <a:pathLst>
                  <a:path w="226" h="190">
                    <a:moveTo>
                      <a:pt x="2" y="190"/>
                    </a:moveTo>
                    <a:lnTo>
                      <a:pt x="226" y="127"/>
                    </a:lnTo>
                    <a:lnTo>
                      <a:pt x="183" y="0"/>
                    </a:lnTo>
                    <a:lnTo>
                      <a:pt x="0" y="190"/>
                    </a:lnTo>
                  </a:path>
                </a:pathLst>
              </a:custGeom>
              <a:solidFill>
                <a:srgbClr xmlns:mc="http://schemas.openxmlformats.org/markup-compatibility/2006" xmlns:a14="http://schemas.microsoft.com/office/drawing/2010/main" val="008080" mc:Ignorable="a14" a14:legacySpreadsheetColorIndex="21"/>
              </a:solidFill>
              <a:ln w="28575" cmpd="sng">
                <a:solidFill>
                  <a:srgbClr xmlns:mc="http://schemas.openxmlformats.org/markup-compatibility/2006" xmlns:a14="http://schemas.microsoft.com/office/drawing/2010/main" val="008080" mc:Ignorable="a14" a14:legacySpreadsheetColorIndex="21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10" name="WordArt 12">
              <a:extLst>
                <a:ext uri="{FF2B5EF4-FFF2-40B4-BE49-F238E27FC236}">
                  <a16:creationId xmlns:a16="http://schemas.microsoft.com/office/drawing/2014/main" id="{6E5104AE-0062-47BE-BB53-CB4DE8F986A2}"/>
                </a:ext>
              </a:extLst>
            </xdr:cNvPr>
            <xdr:cNvSpPr>
              <a:spLocks noChangeArrowheads="1" noChangeShapeType="1" noTextEdit="1"/>
            </xdr:cNvSpPr>
          </xdr:nvSpPr>
          <xdr:spPr bwMode="auto">
            <a:xfrm rot="19975540">
              <a:off x="319" y="1864"/>
              <a:ext cx="133" cy="25"/>
            </a:xfrm>
            <a:prstGeom prst="rect">
              <a:avLst/>
            </a:prstGeom>
          </xdr:spPr>
          <xdr:txBody>
            <a:bodyPr wrap="none" fromWordArt="1">
              <a:prstTxWarp prst="textPlain">
                <a:avLst>
                  <a:gd name="adj" fmla="val 50000"/>
                </a:avLst>
              </a:prstTxWarp>
            </a:bodyPr>
            <a:lstStyle/>
            <a:p>
              <a:pPr algn="ctr" rtl="0">
                <a:buNone/>
              </a:pPr>
              <a:r>
                <a:rPr lang="es-PE" sz="800" b="1" kern="10" spc="0">
                  <a:ln w="9525">
                    <a:solidFill>
                      <a:srgbClr xmlns:mc="http://schemas.openxmlformats.org/markup-compatibility/2006" xmlns:a14="http://schemas.microsoft.com/office/drawing/2010/main" val="FFFFFF" mc:Ignorable="a14" a14:legacySpreadsheetColorIndex="9"/>
                    </a:solidFill>
                    <a:round/>
                    <a:headEnd/>
                    <a:tailEnd/>
                  </a:ln>
                  <a:solidFill>
                    <a:srgbClr val="FFFFFF"/>
                  </a:solidFill>
                  <a:effectLst/>
                  <a:latin typeface="HelmetCondensed"/>
                </a:rPr>
                <a:t>G A N A N C I A S</a:t>
              </a:r>
            </a:p>
          </xdr:txBody>
        </xdr:sp>
        <xdr:sp macro="" textlink="">
          <xdr:nvSpPr>
            <xdr:cNvPr id="11" name="WordArt 13">
              <a:extLst>
                <a:ext uri="{FF2B5EF4-FFF2-40B4-BE49-F238E27FC236}">
                  <a16:creationId xmlns:a16="http://schemas.microsoft.com/office/drawing/2014/main" id="{D023873B-ECD9-4894-91AE-6A271B03F60B}"/>
                </a:ext>
              </a:extLst>
            </xdr:cNvPr>
            <xdr:cNvSpPr>
              <a:spLocks noChangeArrowheads="1" noChangeShapeType="1" noTextEdit="1"/>
            </xdr:cNvSpPr>
          </xdr:nvSpPr>
          <xdr:spPr bwMode="auto">
            <a:xfrm rot="19925158">
              <a:off x="82" y="2004"/>
              <a:ext cx="121" cy="22"/>
            </a:xfrm>
            <a:prstGeom prst="rect">
              <a:avLst/>
            </a:prstGeom>
          </xdr:spPr>
          <xdr:txBody>
            <a:bodyPr wrap="none" fromWordArt="1">
              <a:prstTxWarp prst="textPlain">
                <a:avLst>
                  <a:gd name="adj" fmla="val 50000"/>
                </a:avLst>
              </a:prstTxWarp>
            </a:bodyPr>
            <a:lstStyle/>
            <a:p>
              <a:pPr algn="ctr" rtl="0">
                <a:buNone/>
              </a:pPr>
              <a:r>
                <a:rPr lang="es-PE" sz="800" b="1" kern="10" spc="0">
                  <a:ln w="9525">
                    <a:solidFill>
                      <a:srgbClr xmlns:mc="http://schemas.openxmlformats.org/markup-compatibility/2006" xmlns:a14="http://schemas.microsoft.com/office/drawing/2010/main" val="FFFFFF" mc:Ignorable="a14" a14:legacySpreadsheetColorIndex="9"/>
                    </a:solidFill>
                    <a:round/>
                    <a:headEnd/>
                    <a:tailEnd/>
                  </a:ln>
                  <a:solidFill>
                    <a:srgbClr val="FFFFFF"/>
                  </a:solidFill>
                  <a:effectLst/>
                  <a:latin typeface="HelmetCondensed"/>
                </a:rPr>
                <a:t>P E R D I D A S</a:t>
              </a:r>
            </a:p>
          </xdr:txBody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\Costos%20varios%20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"/>
      <sheetName val="AJO"/>
      <sheetName val="AJI PAPRIKA"/>
      <sheetName val="ARVEJA"/>
      <sheetName val="CEBOLLA"/>
      <sheetName val="VAINITA"/>
      <sheetName val="HABA"/>
      <sheetName val="PAPA"/>
      <sheetName val="MAIZ AMILACEO"/>
      <sheetName val="MAIZ MORADO"/>
      <sheetName val="MAIZ CHALERO"/>
      <sheetName val="QUINUA"/>
      <sheetName val="ALFALFA"/>
      <sheetName val="TUNA COCHINILLA"/>
      <sheetName val="ZANAHORIA"/>
      <sheetName val="OREGANO"/>
    </sheetNames>
    <sheetDataSet>
      <sheetData sheetId="0">
        <row r="12">
          <cell r="G12">
            <v>70</v>
          </cell>
        </row>
        <row r="20">
          <cell r="G20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E162-D498-494F-BAEA-E6CC1F3625A7}">
  <sheetPr>
    <tabColor rgb="FF00B0F0"/>
  </sheetPr>
  <dimension ref="A1:Q193"/>
  <sheetViews>
    <sheetView tabSelected="1" topLeftCell="A126" zoomScaleNormal="100" workbookViewId="0">
      <selection activeCell="I19" sqref="I19"/>
    </sheetView>
  </sheetViews>
  <sheetFormatPr baseColWidth="10" defaultColWidth="11.44140625" defaultRowHeight="12" customHeight="1"/>
  <cols>
    <col min="1" max="1" width="4.5546875" style="4" customWidth="1"/>
    <col min="2" max="2" width="35.5546875" style="4" customWidth="1"/>
    <col min="3" max="3" width="11.5546875" style="4" customWidth="1"/>
    <col min="4" max="4" width="12.5546875" style="4" customWidth="1"/>
    <col min="5" max="5" width="15.5546875" style="165" customWidth="1"/>
    <col min="6" max="6" width="15.88671875" style="4" customWidth="1"/>
    <col min="7" max="7" width="15.5546875" style="166" customWidth="1"/>
    <col min="8" max="8" width="20.88671875" style="4" customWidth="1"/>
    <col min="9" max="9" width="11.6640625" style="4" customWidth="1"/>
    <col min="10" max="256" width="11.44140625" style="4"/>
    <col min="257" max="257" width="4.5546875" style="4" customWidth="1"/>
    <col min="258" max="258" width="35.5546875" style="4" customWidth="1"/>
    <col min="259" max="259" width="11.5546875" style="4" customWidth="1"/>
    <col min="260" max="260" width="12.5546875" style="4" customWidth="1"/>
    <col min="261" max="261" width="15.5546875" style="4" customWidth="1"/>
    <col min="262" max="262" width="15.88671875" style="4" customWidth="1"/>
    <col min="263" max="263" width="15.5546875" style="4" customWidth="1"/>
    <col min="264" max="264" width="12.109375" style="4" customWidth="1"/>
    <col min="265" max="265" width="5.5546875" style="4" customWidth="1"/>
    <col min="266" max="512" width="11.44140625" style="4"/>
    <col min="513" max="513" width="4.5546875" style="4" customWidth="1"/>
    <col min="514" max="514" width="35.5546875" style="4" customWidth="1"/>
    <col min="515" max="515" width="11.5546875" style="4" customWidth="1"/>
    <col min="516" max="516" width="12.5546875" style="4" customWidth="1"/>
    <col min="517" max="517" width="15.5546875" style="4" customWidth="1"/>
    <col min="518" max="518" width="15.88671875" style="4" customWidth="1"/>
    <col min="519" max="519" width="15.5546875" style="4" customWidth="1"/>
    <col min="520" max="520" width="12.109375" style="4" customWidth="1"/>
    <col min="521" max="521" width="5.5546875" style="4" customWidth="1"/>
    <col min="522" max="768" width="11.44140625" style="4"/>
    <col min="769" max="769" width="4.5546875" style="4" customWidth="1"/>
    <col min="770" max="770" width="35.5546875" style="4" customWidth="1"/>
    <col min="771" max="771" width="11.5546875" style="4" customWidth="1"/>
    <col min="772" max="772" width="12.5546875" style="4" customWidth="1"/>
    <col min="773" max="773" width="15.5546875" style="4" customWidth="1"/>
    <col min="774" max="774" width="15.88671875" style="4" customWidth="1"/>
    <col min="775" max="775" width="15.5546875" style="4" customWidth="1"/>
    <col min="776" max="776" width="12.109375" style="4" customWidth="1"/>
    <col min="777" max="777" width="5.5546875" style="4" customWidth="1"/>
    <col min="778" max="1024" width="11.44140625" style="4"/>
    <col min="1025" max="1025" width="4.5546875" style="4" customWidth="1"/>
    <col min="1026" max="1026" width="35.5546875" style="4" customWidth="1"/>
    <col min="1027" max="1027" width="11.5546875" style="4" customWidth="1"/>
    <col min="1028" max="1028" width="12.5546875" style="4" customWidth="1"/>
    <col min="1029" max="1029" width="15.5546875" style="4" customWidth="1"/>
    <col min="1030" max="1030" width="15.88671875" style="4" customWidth="1"/>
    <col min="1031" max="1031" width="15.5546875" style="4" customWidth="1"/>
    <col min="1032" max="1032" width="12.109375" style="4" customWidth="1"/>
    <col min="1033" max="1033" width="5.5546875" style="4" customWidth="1"/>
    <col min="1034" max="1280" width="11.44140625" style="4"/>
    <col min="1281" max="1281" width="4.5546875" style="4" customWidth="1"/>
    <col min="1282" max="1282" width="35.5546875" style="4" customWidth="1"/>
    <col min="1283" max="1283" width="11.5546875" style="4" customWidth="1"/>
    <col min="1284" max="1284" width="12.5546875" style="4" customWidth="1"/>
    <col min="1285" max="1285" width="15.5546875" style="4" customWidth="1"/>
    <col min="1286" max="1286" width="15.88671875" style="4" customWidth="1"/>
    <col min="1287" max="1287" width="15.5546875" style="4" customWidth="1"/>
    <col min="1288" max="1288" width="12.109375" style="4" customWidth="1"/>
    <col min="1289" max="1289" width="5.5546875" style="4" customWidth="1"/>
    <col min="1290" max="1536" width="11.44140625" style="4"/>
    <col min="1537" max="1537" width="4.5546875" style="4" customWidth="1"/>
    <col min="1538" max="1538" width="35.5546875" style="4" customWidth="1"/>
    <col min="1539" max="1539" width="11.5546875" style="4" customWidth="1"/>
    <col min="1540" max="1540" width="12.5546875" style="4" customWidth="1"/>
    <col min="1541" max="1541" width="15.5546875" style="4" customWidth="1"/>
    <col min="1542" max="1542" width="15.88671875" style="4" customWidth="1"/>
    <col min="1543" max="1543" width="15.5546875" style="4" customWidth="1"/>
    <col min="1544" max="1544" width="12.109375" style="4" customWidth="1"/>
    <col min="1545" max="1545" width="5.5546875" style="4" customWidth="1"/>
    <col min="1546" max="1792" width="11.44140625" style="4"/>
    <col min="1793" max="1793" width="4.5546875" style="4" customWidth="1"/>
    <col min="1794" max="1794" width="35.5546875" style="4" customWidth="1"/>
    <col min="1795" max="1795" width="11.5546875" style="4" customWidth="1"/>
    <col min="1796" max="1796" width="12.5546875" style="4" customWidth="1"/>
    <col min="1797" max="1797" width="15.5546875" style="4" customWidth="1"/>
    <col min="1798" max="1798" width="15.88671875" style="4" customWidth="1"/>
    <col min="1799" max="1799" width="15.5546875" style="4" customWidth="1"/>
    <col min="1800" max="1800" width="12.109375" style="4" customWidth="1"/>
    <col min="1801" max="1801" width="5.5546875" style="4" customWidth="1"/>
    <col min="1802" max="2048" width="11.44140625" style="4"/>
    <col min="2049" max="2049" width="4.5546875" style="4" customWidth="1"/>
    <col min="2050" max="2050" width="35.5546875" style="4" customWidth="1"/>
    <col min="2051" max="2051" width="11.5546875" style="4" customWidth="1"/>
    <col min="2052" max="2052" width="12.5546875" style="4" customWidth="1"/>
    <col min="2053" max="2053" width="15.5546875" style="4" customWidth="1"/>
    <col min="2054" max="2054" width="15.88671875" style="4" customWidth="1"/>
    <col min="2055" max="2055" width="15.5546875" style="4" customWidth="1"/>
    <col min="2056" max="2056" width="12.109375" style="4" customWidth="1"/>
    <col min="2057" max="2057" width="5.5546875" style="4" customWidth="1"/>
    <col min="2058" max="2304" width="11.44140625" style="4"/>
    <col min="2305" max="2305" width="4.5546875" style="4" customWidth="1"/>
    <col min="2306" max="2306" width="35.5546875" style="4" customWidth="1"/>
    <col min="2307" max="2307" width="11.5546875" style="4" customWidth="1"/>
    <col min="2308" max="2308" width="12.5546875" style="4" customWidth="1"/>
    <col min="2309" max="2309" width="15.5546875" style="4" customWidth="1"/>
    <col min="2310" max="2310" width="15.88671875" style="4" customWidth="1"/>
    <col min="2311" max="2311" width="15.5546875" style="4" customWidth="1"/>
    <col min="2312" max="2312" width="12.109375" style="4" customWidth="1"/>
    <col min="2313" max="2313" width="5.5546875" style="4" customWidth="1"/>
    <col min="2314" max="2560" width="11.44140625" style="4"/>
    <col min="2561" max="2561" width="4.5546875" style="4" customWidth="1"/>
    <col min="2562" max="2562" width="35.5546875" style="4" customWidth="1"/>
    <col min="2563" max="2563" width="11.5546875" style="4" customWidth="1"/>
    <col min="2564" max="2564" width="12.5546875" style="4" customWidth="1"/>
    <col min="2565" max="2565" width="15.5546875" style="4" customWidth="1"/>
    <col min="2566" max="2566" width="15.88671875" style="4" customWidth="1"/>
    <col min="2567" max="2567" width="15.5546875" style="4" customWidth="1"/>
    <col min="2568" max="2568" width="12.109375" style="4" customWidth="1"/>
    <col min="2569" max="2569" width="5.5546875" style="4" customWidth="1"/>
    <col min="2570" max="2816" width="11.44140625" style="4"/>
    <col min="2817" max="2817" width="4.5546875" style="4" customWidth="1"/>
    <col min="2818" max="2818" width="35.5546875" style="4" customWidth="1"/>
    <col min="2819" max="2819" width="11.5546875" style="4" customWidth="1"/>
    <col min="2820" max="2820" width="12.5546875" style="4" customWidth="1"/>
    <col min="2821" max="2821" width="15.5546875" style="4" customWidth="1"/>
    <col min="2822" max="2822" width="15.88671875" style="4" customWidth="1"/>
    <col min="2823" max="2823" width="15.5546875" style="4" customWidth="1"/>
    <col min="2824" max="2824" width="12.109375" style="4" customWidth="1"/>
    <col min="2825" max="2825" width="5.5546875" style="4" customWidth="1"/>
    <col min="2826" max="3072" width="11.44140625" style="4"/>
    <col min="3073" max="3073" width="4.5546875" style="4" customWidth="1"/>
    <col min="3074" max="3074" width="35.5546875" style="4" customWidth="1"/>
    <col min="3075" max="3075" width="11.5546875" style="4" customWidth="1"/>
    <col min="3076" max="3076" width="12.5546875" style="4" customWidth="1"/>
    <col min="3077" max="3077" width="15.5546875" style="4" customWidth="1"/>
    <col min="3078" max="3078" width="15.88671875" style="4" customWidth="1"/>
    <col min="3079" max="3079" width="15.5546875" style="4" customWidth="1"/>
    <col min="3080" max="3080" width="12.109375" style="4" customWidth="1"/>
    <col min="3081" max="3081" width="5.5546875" style="4" customWidth="1"/>
    <col min="3082" max="3328" width="11.44140625" style="4"/>
    <col min="3329" max="3329" width="4.5546875" style="4" customWidth="1"/>
    <col min="3330" max="3330" width="35.5546875" style="4" customWidth="1"/>
    <col min="3331" max="3331" width="11.5546875" style="4" customWidth="1"/>
    <col min="3332" max="3332" width="12.5546875" style="4" customWidth="1"/>
    <col min="3333" max="3333" width="15.5546875" style="4" customWidth="1"/>
    <col min="3334" max="3334" width="15.88671875" style="4" customWidth="1"/>
    <col min="3335" max="3335" width="15.5546875" style="4" customWidth="1"/>
    <col min="3336" max="3336" width="12.109375" style="4" customWidth="1"/>
    <col min="3337" max="3337" width="5.5546875" style="4" customWidth="1"/>
    <col min="3338" max="3584" width="11.44140625" style="4"/>
    <col min="3585" max="3585" width="4.5546875" style="4" customWidth="1"/>
    <col min="3586" max="3586" width="35.5546875" style="4" customWidth="1"/>
    <col min="3587" max="3587" width="11.5546875" style="4" customWidth="1"/>
    <col min="3588" max="3588" width="12.5546875" style="4" customWidth="1"/>
    <col min="3589" max="3589" width="15.5546875" style="4" customWidth="1"/>
    <col min="3590" max="3590" width="15.88671875" style="4" customWidth="1"/>
    <col min="3591" max="3591" width="15.5546875" style="4" customWidth="1"/>
    <col min="3592" max="3592" width="12.109375" style="4" customWidth="1"/>
    <col min="3593" max="3593" width="5.5546875" style="4" customWidth="1"/>
    <col min="3594" max="3840" width="11.44140625" style="4"/>
    <col min="3841" max="3841" width="4.5546875" style="4" customWidth="1"/>
    <col min="3842" max="3842" width="35.5546875" style="4" customWidth="1"/>
    <col min="3843" max="3843" width="11.5546875" style="4" customWidth="1"/>
    <col min="3844" max="3844" width="12.5546875" style="4" customWidth="1"/>
    <col min="3845" max="3845" width="15.5546875" style="4" customWidth="1"/>
    <col min="3846" max="3846" width="15.88671875" style="4" customWidth="1"/>
    <col min="3847" max="3847" width="15.5546875" style="4" customWidth="1"/>
    <col min="3848" max="3848" width="12.109375" style="4" customWidth="1"/>
    <col min="3849" max="3849" width="5.5546875" style="4" customWidth="1"/>
    <col min="3850" max="4096" width="11.44140625" style="4"/>
    <col min="4097" max="4097" width="4.5546875" style="4" customWidth="1"/>
    <col min="4098" max="4098" width="35.5546875" style="4" customWidth="1"/>
    <col min="4099" max="4099" width="11.5546875" style="4" customWidth="1"/>
    <col min="4100" max="4100" width="12.5546875" style="4" customWidth="1"/>
    <col min="4101" max="4101" width="15.5546875" style="4" customWidth="1"/>
    <col min="4102" max="4102" width="15.88671875" style="4" customWidth="1"/>
    <col min="4103" max="4103" width="15.5546875" style="4" customWidth="1"/>
    <col min="4104" max="4104" width="12.109375" style="4" customWidth="1"/>
    <col min="4105" max="4105" width="5.5546875" style="4" customWidth="1"/>
    <col min="4106" max="4352" width="11.44140625" style="4"/>
    <col min="4353" max="4353" width="4.5546875" style="4" customWidth="1"/>
    <col min="4354" max="4354" width="35.5546875" style="4" customWidth="1"/>
    <col min="4355" max="4355" width="11.5546875" style="4" customWidth="1"/>
    <col min="4356" max="4356" width="12.5546875" style="4" customWidth="1"/>
    <col min="4357" max="4357" width="15.5546875" style="4" customWidth="1"/>
    <col min="4358" max="4358" width="15.88671875" style="4" customWidth="1"/>
    <col min="4359" max="4359" width="15.5546875" style="4" customWidth="1"/>
    <col min="4360" max="4360" width="12.109375" style="4" customWidth="1"/>
    <col min="4361" max="4361" width="5.5546875" style="4" customWidth="1"/>
    <col min="4362" max="4608" width="11.44140625" style="4"/>
    <col min="4609" max="4609" width="4.5546875" style="4" customWidth="1"/>
    <col min="4610" max="4610" width="35.5546875" style="4" customWidth="1"/>
    <col min="4611" max="4611" width="11.5546875" style="4" customWidth="1"/>
    <col min="4612" max="4612" width="12.5546875" style="4" customWidth="1"/>
    <col min="4613" max="4613" width="15.5546875" style="4" customWidth="1"/>
    <col min="4614" max="4614" width="15.88671875" style="4" customWidth="1"/>
    <col min="4615" max="4615" width="15.5546875" style="4" customWidth="1"/>
    <col min="4616" max="4616" width="12.109375" style="4" customWidth="1"/>
    <col min="4617" max="4617" width="5.5546875" style="4" customWidth="1"/>
    <col min="4618" max="4864" width="11.44140625" style="4"/>
    <col min="4865" max="4865" width="4.5546875" style="4" customWidth="1"/>
    <col min="4866" max="4866" width="35.5546875" style="4" customWidth="1"/>
    <col min="4867" max="4867" width="11.5546875" style="4" customWidth="1"/>
    <col min="4868" max="4868" width="12.5546875" style="4" customWidth="1"/>
    <col min="4869" max="4869" width="15.5546875" style="4" customWidth="1"/>
    <col min="4870" max="4870" width="15.88671875" style="4" customWidth="1"/>
    <col min="4871" max="4871" width="15.5546875" style="4" customWidth="1"/>
    <col min="4872" max="4872" width="12.109375" style="4" customWidth="1"/>
    <col min="4873" max="4873" width="5.5546875" style="4" customWidth="1"/>
    <col min="4874" max="5120" width="11.44140625" style="4"/>
    <col min="5121" max="5121" width="4.5546875" style="4" customWidth="1"/>
    <col min="5122" max="5122" width="35.5546875" style="4" customWidth="1"/>
    <col min="5123" max="5123" width="11.5546875" style="4" customWidth="1"/>
    <col min="5124" max="5124" width="12.5546875" style="4" customWidth="1"/>
    <col min="5125" max="5125" width="15.5546875" style="4" customWidth="1"/>
    <col min="5126" max="5126" width="15.88671875" style="4" customWidth="1"/>
    <col min="5127" max="5127" width="15.5546875" style="4" customWidth="1"/>
    <col min="5128" max="5128" width="12.109375" style="4" customWidth="1"/>
    <col min="5129" max="5129" width="5.5546875" style="4" customWidth="1"/>
    <col min="5130" max="5376" width="11.44140625" style="4"/>
    <col min="5377" max="5377" width="4.5546875" style="4" customWidth="1"/>
    <col min="5378" max="5378" width="35.5546875" style="4" customWidth="1"/>
    <col min="5379" max="5379" width="11.5546875" style="4" customWidth="1"/>
    <col min="5380" max="5380" width="12.5546875" style="4" customWidth="1"/>
    <col min="5381" max="5381" width="15.5546875" style="4" customWidth="1"/>
    <col min="5382" max="5382" width="15.88671875" style="4" customWidth="1"/>
    <col min="5383" max="5383" width="15.5546875" style="4" customWidth="1"/>
    <col min="5384" max="5384" width="12.109375" style="4" customWidth="1"/>
    <col min="5385" max="5385" width="5.5546875" style="4" customWidth="1"/>
    <col min="5386" max="5632" width="11.44140625" style="4"/>
    <col min="5633" max="5633" width="4.5546875" style="4" customWidth="1"/>
    <col min="5634" max="5634" width="35.5546875" style="4" customWidth="1"/>
    <col min="5635" max="5635" width="11.5546875" style="4" customWidth="1"/>
    <col min="5636" max="5636" width="12.5546875" style="4" customWidth="1"/>
    <col min="5637" max="5637" width="15.5546875" style="4" customWidth="1"/>
    <col min="5638" max="5638" width="15.88671875" style="4" customWidth="1"/>
    <col min="5639" max="5639" width="15.5546875" style="4" customWidth="1"/>
    <col min="5640" max="5640" width="12.109375" style="4" customWidth="1"/>
    <col min="5641" max="5641" width="5.5546875" style="4" customWidth="1"/>
    <col min="5642" max="5888" width="11.44140625" style="4"/>
    <col min="5889" max="5889" width="4.5546875" style="4" customWidth="1"/>
    <col min="5890" max="5890" width="35.5546875" style="4" customWidth="1"/>
    <col min="5891" max="5891" width="11.5546875" style="4" customWidth="1"/>
    <col min="5892" max="5892" width="12.5546875" style="4" customWidth="1"/>
    <col min="5893" max="5893" width="15.5546875" style="4" customWidth="1"/>
    <col min="5894" max="5894" width="15.88671875" style="4" customWidth="1"/>
    <col min="5895" max="5895" width="15.5546875" style="4" customWidth="1"/>
    <col min="5896" max="5896" width="12.109375" style="4" customWidth="1"/>
    <col min="5897" max="5897" width="5.5546875" style="4" customWidth="1"/>
    <col min="5898" max="6144" width="11.44140625" style="4"/>
    <col min="6145" max="6145" width="4.5546875" style="4" customWidth="1"/>
    <col min="6146" max="6146" width="35.5546875" style="4" customWidth="1"/>
    <col min="6147" max="6147" width="11.5546875" style="4" customWidth="1"/>
    <col min="6148" max="6148" width="12.5546875" style="4" customWidth="1"/>
    <col min="6149" max="6149" width="15.5546875" style="4" customWidth="1"/>
    <col min="6150" max="6150" width="15.88671875" style="4" customWidth="1"/>
    <col min="6151" max="6151" width="15.5546875" style="4" customWidth="1"/>
    <col min="6152" max="6152" width="12.109375" style="4" customWidth="1"/>
    <col min="6153" max="6153" width="5.5546875" style="4" customWidth="1"/>
    <col min="6154" max="6400" width="11.44140625" style="4"/>
    <col min="6401" max="6401" width="4.5546875" style="4" customWidth="1"/>
    <col min="6402" max="6402" width="35.5546875" style="4" customWidth="1"/>
    <col min="6403" max="6403" width="11.5546875" style="4" customWidth="1"/>
    <col min="6404" max="6404" width="12.5546875" style="4" customWidth="1"/>
    <col min="6405" max="6405" width="15.5546875" style="4" customWidth="1"/>
    <col min="6406" max="6406" width="15.88671875" style="4" customWidth="1"/>
    <col min="6407" max="6407" width="15.5546875" style="4" customWidth="1"/>
    <col min="6408" max="6408" width="12.109375" style="4" customWidth="1"/>
    <col min="6409" max="6409" width="5.5546875" style="4" customWidth="1"/>
    <col min="6410" max="6656" width="11.44140625" style="4"/>
    <col min="6657" max="6657" width="4.5546875" style="4" customWidth="1"/>
    <col min="6658" max="6658" width="35.5546875" style="4" customWidth="1"/>
    <col min="6659" max="6659" width="11.5546875" style="4" customWidth="1"/>
    <col min="6660" max="6660" width="12.5546875" style="4" customWidth="1"/>
    <col min="6661" max="6661" width="15.5546875" style="4" customWidth="1"/>
    <col min="6662" max="6662" width="15.88671875" style="4" customWidth="1"/>
    <col min="6663" max="6663" width="15.5546875" style="4" customWidth="1"/>
    <col min="6664" max="6664" width="12.109375" style="4" customWidth="1"/>
    <col min="6665" max="6665" width="5.5546875" style="4" customWidth="1"/>
    <col min="6666" max="6912" width="11.44140625" style="4"/>
    <col min="6913" max="6913" width="4.5546875" style="4" customWidth="1"/>
    <col min="6914" max="6914" width="35.5546875" style="4" customWidth="1"/>
    <col min="6915" max="6915" width="11.5546875" style="4" customWidth="1"/>
    <col min="6916" max="6916" width="12.5546875" style="4" customWidth="1"/>
    <col min="6917" max="6917" width="15.5546875" style="4" customWidth="1"/>
    <col min="6918" max="6918" width="15.88671875" style="4" customWidth="1"/>
    <col min="6919" max="6919" width="15.5546875" style="4" customWidth="1"/>
    <col min="6920" max="6920" width="12.109375" style="4" customWidth="1"/>
    <col min="6921" max="6921" width="5.5546875" style="4" customWidth="1"/>
    <col min="6922" max="7168" width="11.44140625" style="4"/>
    <col min="7169" max="7169" width="4.5546875" style="4" customWidth="1"/>
    <col min="7170" max="7170" width="35.5546875" style="4" customWidth="1"/>
    <col min="7171" max="7171" width="11.5546875" style="4" customWidth="1"/>
    <col min="7172" max="7172" width="12.5546875" style="4" customWidth="1"/>
    <col min="7173" max="7173" width="15.5546875" style="4" customWidth="1"/>
    <col min="7174" max="7174" width="15.88671875" style="4" customWidth="1"/>
    <col min="7175" max="7175" width="15.5546875" style="4" customWidth="1"/>
    <col min="7176" max="7176" width="12.109375" style="4" customWidth="1"/>
    <col min="7177" max="7177" width="5.5546875" style="4" customWidth="1"/>
    <col min="7178" max="7424" width="11.44140625" style="4"/>
    <col min="7425" max="7425" width="4.5546875" style="4" customWidth="1"/>
    <col min="7426" max="7426" width="35.5546875" style="4" customWidth="1"/>
    <col min="7427" max="7427" width="11.5546875" style="4" customWidth="1"/>
    <col min="7428" max="7428" width="12.5546875" style="4" customWidth="1"/>
    <col min="7429" max="7429" width="15.5546875" style="4" customWidth="1"/>
    <col min="7430" max="7430" width="15.88671875" style="4" customWidth="1"/>
    <col min="7431" max="7431" width="15.5546875" style="4" customWidth="1"/>
    <col min="7432" max="7432" width="12.109375" style="4" customWidth="1"/>
    <col min="7433" max="7433" width="5.5546875" style="4" customWidth="1"/>
    <col min="7434" max="7680" width="11.44140625" style="4"/>
    <col min="7681" max="7681" width="4.5546875" style="4" customWidth="1"/>
    <col min="7682" max="7682" width="35.5546875" style="4" customWidth="1"/>
    <col min="7683" max="7683" width="11.5546875" style="4" customWidth="1"/>
    <col min="7684" max="7684" width="12.5546875" style="4" customWidth="1"/>
    <col min="7685" max="7685" width="15.5546875" style="4" customWidth="1"/>
    <col min="7686" max="7686" width="15.88671875" style="4" customWidth="1"/>
    <col min="7687" max="7687" width="15.5546875" style="4" customWidth="1"/>
    <col min="7688" max="7688" width="12.109375" style="4" customWidth="1"/>
    <col min="7689" max="7689" width="5.5546875" style="4" customWidth="1"/>
    <col min="7690" max="7936" width="11.44140625" style="4"/>
    <col min="7937" max="7937" width="4.5546875" style="4" customWidth="1"/>
    <col min="7938" max="7938" width="35.5546875" style="4" customWidth="1"/>
    <col min="7939" max="7939" width="11.5546875" style="4" customWidth="1"/>
    <col min="7940" max="7940" width="12.5546875" style="4" customWidth="1"/>
    <col min="7941" max="7941" width="15.5546875" style="4" customWidth="1"/>
    <col min="7942" max="7942" width="15.88671875" style="4" customWidth="1"/>
    <col min="7943" max="7943" width="15.5546875" style="4" customWidth="1"/>
    <col min="7944" max="7944" width="12.109375" style="4" customWidth="1"/>
    <col min="7945" max="7945" width="5.5546875" style="4" customWidth="1"/>
    <col min="7946" max="8192" width="11.44140625" style="4"/>
    <col min="8193" max="8193" width="4.5546875" style="4" customWidth="1"/>
    <col min="8194" max="8194" width="35.5546875" style="4" customWidth="1"/>
    <col min="8195" max="8195" width="11.5546875" style="4" customWidth="1"/>
    <col min="8196" max="8196" width="12.5546875" style="4" customWidth="1"/>
    <col min="8197" max="8197" width="15.5546875" style="4" customWidth="1"/>
    <col min="8198" max="8198" width="15.88671875" style="4" customWidth="1"/>
    <col min="8199" max="8199" width="15.5546875" style="4" customWidth="1"/>
    <col min="8200" max="8200" width="12.109375" style="4" customWidth="1"/>
    <col min="8201" max="8201" width="5.5546875" style="4" customWidth="1"/>
    <col min="8202" max="8448" width="11.44140625" style="4"/>
    <col min="8449" max="8449" width="4.5546875" style="4" customWidth="1"/>
    <col min="8450" max="8450" width="35.5546875" style="4" customWidth="1"/>
    <col min="8451" max="8451" width="11.5546875" style="4" customWidth="1"/>
    <col min="8452" max="8452" width="12.5546875" style="4" customWidth="1"/>
    <col min="8453" max="8453" width="15.5546875" style="4" customWidth="1"/>
    <col min="8454" max="8454" width="15.88671875" style="4" customWidth="1"/>
    <col min="8455" max="8455" width="15.5546875" style="4" customWidth="1"/>
    <col min="8456" max="8456" width="12.109375" style="4" customWidth="1"/>
    <col min="8457" max="8457" width="5.5546875" style="4" customWidth="1"/>
    <col min="8458" max="8704" width="11.44140625" style="4"/>
    <col min="8705" max="8705" width="4.5546875" style="4" customWidth="1"/>
    <col min="8706" max="8706" width="35.5546875" style="4" customWidth="1"/>
    <col min="8707" max="8707" width="11.5546875" style="4" customWidth="1"/>
    <col min="8708" max="8708" width="12.5546875" style="4" customWidth="1"/>
    <col min="8709" max="8709" width="15.5546875" style="4" customWidth="1"/>
    <col min="8710" max="8710" width="15.88671875" style="4" customWidth="1"/>
    <col min="8711" max="8711" width="15.5546875" style="4" customWidth="1"/>
    <col min="8712" max="8712" width="12.109375" style="4" customWidth="1"/>
    <col min="8713" max="8713" width="5.5546875" style="4" customWidth="1"/>
    <col min="8714" max="8960" width="11.44140625" style="4"/>
    <col min="8961" max="8961" width="4.5546875" style="4" customWidth="1"/>
    <col min="8962" max="8962" width="35.5546875" style="4" customWidth="1"/>
    <col min="8963" max="8963" width="11.5546875" style="4" customWidth="1"/>
    <col min="8964" max="8964" width="12.5546875" style="4" customWidth="1"/>
    <col min="8965" max="8965" width="15.5546875" style="4" customWidth="1"/>
    <col min="8966" max="8966" width="15.88671875" style="4" customWidth="1"/>
    <col min="8967" max="8967" width="15.5546875" style="4" customWidth="1"/>
    <col min="8968" max="8968" width="12.109375" style="4" customWidth="1"/>
    <col min="8969" max="8969" width="5.5546875" style="4" customWidth="1"/>
    <col min="8970" max="9216" width="11.44140625" style="4"/>
    <col min="9217" max="9217" width="4.5546875" style="4" customWidth="1"/>
    <col min="9218" max="9218" width="35.5546875" style="4" customWidth="1"/>
    <col min="9219" max="9219" width="11.5546875" style="4" customWidth="1"/>
    <col min="9220" max="9220" width="12.5546875" style="4" customWidth="1"/>
    <col min="9221" max="9221" width="15.5546875" style="4" customWidth="1"/>
    <col min="9222" max="9222" width="15.88671875" style="4" customWidth="1"/>
    <col min="9223" max="9223" width="15.5546875" style="4" customWidth="1"/>
    <col min="9224" max="9224" width="12.109375" style="4" customWidth="1"/>
    <col min="9225" max="9225" width="5.5546875" style="4" customWidth="1"/>
    <col min="9226" max="9472" width="11.44140625" style="4"/>
    <col min="9473" max="9473" width="4.5546875" style="4" customWidth="1"/>
    <col min="9474" max="9474" width="35.5546875" style="4" customWidth="1"/>
    <col min="9475" max="9475" width="11.5546875" style="4" customWidth="1"/>
    <col min="9476" max="9476" width="12.5546875" style="4" customWidth="1"/>
    <col min="9477" max="9477" width="15.5546875" style="4" customWidth="1"/>
    <col min="9478" max="9478" width="15.88671875" style="4" customWidth="1"/>
    <col min="9479" max="9479" width="15.5546875" style="4" customWidth="1"/>
    <col min="9480" max="9480" width="12.109375" style="4" customWidth="1"/>
    <col min="9481" max="9481" width="5.5546875" style="4" customWidth="1"/>
    <col min="9482" max="9728" width="11.44140625" style="4"/>
    <col min="9729" max="9729" width="4.5546875" style="4" customWidth="1"/>
    <col min="9730" max="9730" width="35.5546875" style="4" customWidth="1"/>
    <col min="9731" max="9731" width="11.5546875" style="4" customWidth="1"/>
    <col min="9732" max="9732" width="12.5546875" style="4" customWidth="1"/>
    <col min="9733" max="9733" width="15.5546875" style="4" customWidth="1"/>
    <col min="9734" max="9734" width="15.88671875" style="4" customWidth="1"/>
    <col min="9735" max="9735" width="15.5546875" style="4" customWidth="1"/>
    <col min="9736" max="9736" width="12.109375" style="4" customWidth="1"/>
    <col min="9737" max="9737" width="5.5546875" style="4" customWidth="1"/>
    <col min="9738" max="9984" width="11.44140625" style="4"/>
    <col min="9985" max="9985" width="4.5546875" style="4" customWidth="1"/>
    <col min="9986" max="9986" width="35.5546875" style="4" customWidth="1"/>
    <col min="9987" max="9987" width="11.5546875" style="4" customWidth="1"/>
    <col min="9988" max="9988" width="12.5546875" style="4" customWidth="1"/>
    <col min="9989" max="9989" width="15.5546875" style="4" customWidth="1"/>
    <col min="9990" max="9990" width="15.88671875" style="4" customWidth="1"/>
    <col min="9991" max="9991" width="15.5546875" style="4" customWidth="1"/>
    <col min="9992" max="9992" width="12.109375" style="4" customWidth="1"/>
    <col min="9993" max="9993" width="5.5546875" style="4" customWidth="1"/>
    <col min="9994" max="10240" width="11.44140625" style="4"/>
    <col min="10241" max="10241" width="4.5546875" style="4" customWidth="1"/>
    <col min="10242" max="10242" width="35.5546875" style="4" customWidth="1"/>
    <col min="10243" max="10243" width="11.5546875" style="4" customWidth="1"/>
    <col min="10244" max="10244" width="12.5546875" style="4" customWidth="1"/>
    <col min="10245" max="10245" width="15.5546875" style="4" customWidth="1"/>
    <col min="10246" max="10246" width="15.88671875" style="4" customWidth="1"/>
    <col min="10247" max="10247" width="15.5546875" style="4" customWidth="1"/>
    <col min="10248" max="10248" width="12.109375" style="4" customWidth="1"/>
    <col min="10249" max="10249" width="5.5546875" style="4" customWidth="1"/>
    <col min="10250" max="10496" width="11.44140625" style="4"/>
    <col min="10497" max="10497" width="4.5546875" style="4" customWidth="1"/>
    <col min="10498" max="10498" width="35.5546875" style="4" customWidth="1"/>
    <col min="10499" max="10499" width="11.5546875" style="4" customWidth="1"/>
    <col min="10500" max="10500" width="12.5546875" style="4" customWidth="1"/>
    <col min="10501" max="10501" width="15.5546875" style="4" customWidth="1"/>
    <col min="10502" max="10502" width="15.88671875" style="4" customWidth="1"/>
    <col min="10503" max="10503" width="15.5546875" style="4" customWidth="1"/>
    <col min="10504" max="10504" width="12.109375" style="4" customWidth="1"/>
    <col min="10505" max="10505" width="5.5546875" style="4" customWidth="1"/>
    <col min="10506" max="10752" width="11.44140625" style="4"/>
    <col min="10753" max="10753" width="4.5546875" style="4" customWidth="1"/>
    <col min="10754" max="10754" width="35.5546875" style="4" customWidth="1"/>
    <col min="10755" max="10755" width="11.5546875" style="4" customWidth="1"/>
    <col min="10756" max="10756" width="12.5546875" style="4" customWidth="1"/>
    <col min="10757" max="10757" width="15.5546875" style="4" customWidth="1"/>
    <col min="10758" max="10758" width="15.88671875" style="4" customWidth="1"/>
    <col min="10759" max="10759" width="15.5546875" style="4" customWidth="1"/>
    <col min="10760" max="10760" width="12.109375" style="4" customWidth="1"/>
    <col min="10761" max="10761" width="5.5546875" style="4" customWidth="1"/>
    <col min="10762" max="11008" width="11.44140625" style="4"/>
    <col min="11009" max="11009" width="4.5546875" style="4" customWidth="1"/>
    <col min="11010" max="11010" width="35.5546875" style="4" customWidth="1"/>
    <col min="11011" max="11011" width="11.5546875" style="4" customWidth="1"/>
    <col min="11012" max="11012" width="12.5546875" style="4" customWidth="1"/>
    <col min="11013" max="11013" width="15.5546875" style="4" customWidth="1"/>
    <col min="11014" max="11014" width="15.88671875" style="4" customWidth="1"/>
    <col min="11015" max="11015" width="15.5546875" style="4" customWidth="1"/>
    <col min="11016" max="11016" width="12.109375" style="4" customWidth="1"/>
    <col min="11017" max="11017" width="5.5546875" style="4" customWidth="1"/>
    <col min="11018" max="11264" width="11.44140625" style="4"/>
    <col min="11265" max="11265" width="4.5546875" style="4" customWidth="1"/>
    <col min="11266" max="11266" width="35.5546875" style="4" customWidth="1"/>
    <col min="11267" max="11267" width="11.5546875" style="4" customWidth="1"/>
    <col min="11268" max="11268" width="12.5546875" style="4" customWidth="1"/>
    <col min="11269" max="11269" width="15.5546875" style="4" customWidth="1"/>
    <col min="11270" max="11270" width="15.88671875" style="4" customWidth="1"/>
    <col min="11271" max="11271" width="15.5546875" style="4" customWidth="1"/>
    <col min="11272" max="11272" width="12.109375" style="4" customWidth="1"/>
    <col min="11273" max="11273" width="5.5546875" style="4" customWidth="1"/>
    <col min="11274" max="11520" width="11.44140625" style="4"/>
    <col min="11521" max="11521" width="4.5546875" style="4" customWidth="1"/>
    <col min="11522" max="11522" width="35.5546875" style="4" customWidth="1"/>
    <col min="11523" max="11523" width="11.5546875" style="4" customWidth="1"/>
    <col min="11524" max="11524" width="12.5546875" style="4" customWidth="1"/>
    <col min="11525" max="11525" width="15.5546875" style="4" customWidth="1"/>
    <col min="11526" max="11526" width="15.88671875" style="4" customWidth="1"/>
    <col min="11527" max="11527" width="15.5546875" style="4" customWidth="1"/>
    <col min="11528" max="11528" width="12.109375" style="4" customWidth="1"/>
    <col min="11529" max="11529" width="5.5546875" style="4" customWidth="1"/>
    <col min="11530" max="11776" width="11.44140625" style="4"/>
    <col min="11777" max="11777" width="4.5546875" style="4" customWidth="1"/>
    <col min="11778" max="11778" width="35.5546875" style="4" customWidth="1"/>
    <col min="11779" max="11779" width="11.5546875" style="4" customWidth="1"/>
    <col min="11780" max="11780" width="12.5546875" style="4" customWidth="1"/>
    <col min="11781" max="11781" width="15.5546875" style="4" customWidth="1"/>
    <col min="11782" max="11782" width="15.88671875" style="4" customWidth="1"/>
    <col min="11783" max="11783" width="15.5546875" style="4" customWidth="1"/>
    <col min="11784" max="11784" width="12.109375" style="4" customWidth="1"/>
    <col min="11785" max="11785" width="5.5546875" style="4" customWidth="1"/>
    <col min="11786" max="12032" width="11.44140625" style="4"/>
    <col min="12033" max="12033" width="4.5546875" style="4" customWidth="1"/>
    <col min="12034" max="12034" width="35.5546875" style="4" customWidth="1"/>
    <col min="12035" max="12035" width="11.5546875" style="4" customWidth="1"/>
    <col min="12036" max="12036" width="12.5546875" style="4" customWidth="1"/>
    <col min="12037" max="12037" width="15.5546875" style="4" customWidth="1"/>
    <col min="12038" max="12038" width="15.88671875" style="4" customWidth="1"/>
    <col min="12039" max="12039" width="15.5546875" style="4" customWidth="1"/>
    <col min="12040" max="12040" width="12.109375" style="4" customWidth="1"/>
    <col min="12041" max="12041" width="5.5546875" style="4" customWidth="1"/>
    <col min="12042" max="12288" width="11.44140625" style="4"/>
    <col min="12289" max="12289" width="4.5546875" style="4" customWidth="1"/>
    <col min="12290" max="12290" width="35.5546875" style="4" customWidth="1"/>
    <col min="12291" max="12291" width="11.5546875" style="4" customWidth="1"/>
    <col min="12292" max="12292" width="12.5546875" style="4" customWidth="1"/>
    <col min="12293" max="12293" width="15.5546875" style="4" customWidth="1"/>
    <col min="12294" max="12294" width="15.88671875" style="4" customWidth="1"/>
    <col min="12295" max="12295" width="15.5546875" style="4" customWidth="1"/>
    <col min="12296" max="12296" width="12.109375" style="4" customWidth="1"/>
    <col min="12297" max="12297" width="5.5546875" style="4" customWidth="1"/>
    <col min="12298" max="12544" width="11.44140625" style="4"/>
    <col min="12545" max="12545" width="4.5546875" style="4" customWidth="1"/>
    <col min="12546" max="12546" width="35.5546875" style="4" customWidth="1"/>
    <col min="12547" max="12547" width="11.5546875" style="4" customWidth="1"/>
    <col min="12548" max="12548" width="12.5546875" style="4" customWidth="1"/>
    <col min="12549" max="12549" width="15.5546875" style="4" customWidth="1"/>
    <col min="12550" max="12550" width="15.88671875" style="4" customWidth="1"/>
    <col min="12551" max="12551" width="15.5546875" style="4" customWidth="1"/>
    <col min="12552" max="12552" width="12.109375" style="4" customWidth="1"/>
    <col min="12553" max="12553" width="5.5546875" style="4" customWidth="1"/>
    <col min="12554" max="12800" width="11.44140625" style="4"/>
    <col min="12801" max="12801" width="4.5546875" style="4" customWidth="1"/>
    <col min="12802" max="12802" width="35.5546875" style="4" customWidth="1"/>
    <col min="12803" max="12803" width="11.5546875" style="4" customWidth="1"/>
    <col min="12804" max="12804" width="12.5546875" style="4" customWidth="1"/>
    <col min="12805" max="12805" width="15.5546875" style="4" customWidth="1"/>
    <col min="12806" max="12806" width="15.88671875" style="4" customWidth="1"/>
    <col min="12807" max="12807" width="15.5546875" style="4" customWidth="1"/>
    <col min="12808" max="12808" width="12.109375" style="4" customWidth="1"/>
    <col min="12809" max="12809" width="5.5546875" style="4" customWidth="1"/>
    <col min="12810" max="13056" width="11.44140625" style="4"/>
    <col min="13057" max="13057" width="4.5546875" style="4" customWidth="1"/>
    <col min="13058" max="13058" width="35.5546875" style="4" customWidth="1"/>
    <col min="13059" max="13059" width="11.5546875" style="4" customWidth="1"/>
    <col min="13060" max="13060" width="12.5546875" style="4" customWidth="1"/>
    <col min="13061" max="13061" width="15.5546875" style="4" customWidth="1"/>
    <col min="13062" max="13062" width="15.88671875" style="4" customWidth="1"/>
    <col min="13063" max="13063" width="15.5546875" style="4" customWidth="1"/>
    <col min="13064" max="13064" width="12.109375" style="4" customWidth="1"/>
    <col min="13065" max="13065" width="5.5546875" style="4" customWidth="1"/>
    <col min="13066" max="13312" width="11.44140625" style="4"/>
    <col min="13313" max="13313" width="4.5546875" style="4" customWidth="1"/>
    <col min="13314" max="13314" width="35.5546875" style="4" customWidth="1"/>
    <col min="13315" max="13315" width="11.5546875" style="4" customWidth="1"/>
    <col min="13316" max="13316" width="12.5546875" style="4" customWidth="1"/>
    <col min="13317" max="13317" width="15.5546875" style="4" customWidth="1"/>
    <col min="13318" max="13318" width="15.88671875" style="4" customWidth="1"/>
    <col min="13319" max="13319" width="15.5546875" style="4" customWidth="1"/>
    <col min="13320" max="13320" width="12.109375" style="4" customWidth="1"/>
    <col min="13321" max="13321" width="5.5546875" style="4" customWidth="1"/>
    <col min="13322" max="13568" width="11.44140625" style="4"/>
    <col min="13569" max="13569" width="4.5546875" style="4" customWidth="1"/>
    <col min="13570" max="13570" width="35.5546875" style="4" customWidth="1"/>
    <col min="13571" max="13571" width="11.5546875" style="4" customWidth="1"/>
    <col min="13572" max="13572" width="12.5546875" style="4" customWidth="1"/>
    <col min="13573" max="13573" width="15.5546875" style="4" customWidth="1"/>
    <col min="13574" max="13574" width="15.88671875" style="4" customWidth="1"/>
    <col min="13575" max="13575" width="15.5546875" style="4" customWidth="1"/>
    <col min="13576" max="13576" width="12.109375" style="4" customWidth="1"/>
    <col min="13577" max="13577" width="5.5546875" style="4" customWidth="1"/>
    <col min="13578" max="13824" width="11.44140625" style="4"/>
    <col min="13825" max="13825" width="4.5546875" style="4" customWidth="1"/>
    <col min="13826" max="13826" width="35.5546875" style="4" customWidth="1"/>
    <col min="13827" max="13827" width="11.5546875" style="4" customWidth="1"/>
    <col min="13828" max="13828" width="12.5546875" style="4" customWidth="1"/>
    <col min="13829" max="13829" width="15.5546875" style="4" customWidth="1"/>
    <col min="13830" max="13830" width="15.88671875" style="4" customWidth="1"/>
    <col min="13831" max="13831" width="15.5546875" style="4" customWidth="1"/>
    <col min="13832" max="13832" width="12.109375" style="4" customWidth="1"/>
    <col min="13833" max="13833" width="5.5546875" style="4" customWidth="1"/>
    <col min="13834" max="14080" width="11.44140625" style="4"/>
    <col min="14081" max="14081" width="4.5546875" style="4" customWidth="1"/>
    <col min="14082" max="14082" width="35.5546875" style="4" customWidth="1"/>
    <col min="14083" max="14083" width="11.5546875" style="4" customWidth="1"/>
    <col min="14084" max="14084" width="12.5546875" style="4" customWidth="1"/>
    <col min="14085" max="14085" width="15.5546875" style="4" customWidth="1"/>
    <col min="14086" max="14086" width="15.88671875" style="4" customWidth="1"/>
    <col min="14087" max="14087" width="15.5546875" style="4" customWidth="1"/>
    <col min="14088" max="14088" width="12.109375" style="4" customWidth="1"/>
    <col min="14089" max="14089" width="5.5546875" style="4" customWidth="1"/>
    <col min="14090" max="14336" width="11.44140625" style="4"/>
    <col min="14337" max="14337" width="4.5546875" style="4" customWidth="1"/>
    <col min="14338" max="14338" width="35.5546875" style="4" customWidth="1"/>
    <col min="14339" max="14339" width="11.5546875" style="4" customWidth="1"/>
    <col min="14340" max="14340" width="12.5546875" style="4" customWidth="1"/>
    <col min="14341" max="14341" width="15.5546875" style="4" customWidth="1"/>
    <col min="14342" max="14342" width="15.88671875" style="4" customWidth="1"/>
    <col min="14343" max="14343" width="15.5546875" style="4" customWidth="1"/>
    <col min="14344" max="14344" width="12.109375" style="4" customWidth="1"/>
    <col min="14345" max="14345" width="5.5546875" style="4" customWidth="1"/>
    <col min="14346" max="14592" width="11.44140625" style="4"/>
    <col min="14593" max="14593" width="4.5546875" style="4" customWidth="1"/>
    <col min="14594" max="14594" width="35.5546875" style="4" customWidth="1"/>
    <col min="14595" max="14595" width="11.5546875" style="4" customWidth="1"/>
    <col min="14596" max="14596" width="12.5546875" style="4" customWidth="1"/>
    <col min="14597" max="14597" width="15.5546875" style="4" customWidth="1"/>
    <col min="14598" max="14598" width="15.88671875" style="4" customWidth="1"/>
    <col min="14599" max="14599" width="15.5546875" style="4" customWidth="1"/>
    <col min="14600" max="14600" width="12.109375" style="4" customWidth="1"/>
    <col min="14601" max="14601" width="5.5546875" style="4" customWidth="1"/>
    <col min="14602" max="14848" width="11.44140625" style="4"/>
    <col min="14849" max="14849" width="4.5546875" style="4" customWidth="1"/>
    <col min="14850" max="14850" width="35.5546875" style="4" customWidth="1"/>
    <col min="14851" max="14851" width="11.5546875" style="4" customWidth="1"/>
    <col min="14852" max="14852" width="12.5546875" style="4" customWidth="1"/>
    <col min="14853" max="14853" width="15.5546875" style="4" customWidth="1"/>
    <col min="14854" max="14854" width="15.88671875" style="4" customWidth="1"/>
    <col min="14855" max="14855" width="15.5546875" style="4" customWidth="1"/>
    <col min="14856" max="14856" width="12.109375" style="4" customWidth="1"/>
    <col min="14857" max="14857" width="5.5546875" style="4" customWidth="1"/>
    <col min="14858" max="15104" width="11.44140625" style="4"/>
    <col min="15105" max="15105" width="4.5546875" style="4" customWidth="1"/>
    <col min="15106" max="15106" width="35.5546875" style="4" customWidth="1"/>
    <col min="15107" max="15107" width="11.5546875" style="4" customWidth="1"/>
    <col min="15108" max="15108" width="12.5546875" style="4" customWidth="1"/>
    <col min="15109" max="15109" width="15.5546875" style="4" customWidth="1"/>
    <col min="15110" max="15110" width="15.88671875" style="4" customWidth="1"/>
    <col min="15111" max="15111" width="15.5546875" style="4" customWidth="1"/>
    <col min="15112" max="15112" width="12.109375" style="4" customWidth="1"/>
    <col min="15113" max="15113" width="5.5546875" style="4" customWidth="1"/>
    <col min="15114" max="15360" width="11.44140625" style="4"/>
    <col min="15361" max="15361" width="4.5546875" style="4" customWidth="1"/>
    <col min="15362" max="15362" width="35.5546875" style="4" customWidth="1"/>
    <col min="15363" max="15363" width="11.5546875" style="4" customWidth="1"/>
    <col min="15364" max="15364" width="12.5546875" style="4" customWidth="1"/>
    <col min="15365" max="15365" width="15.5546875" style="4" customWidth="1"/>
    <col min="15366" max="15366" width="15.88671875" style="4" customWidth="1"/>
    <col min="15367" max="15367" width="15.5546875" style="4" customWidth="1"/>
    <col min="15368" max="15368" width="12.109375" style="4" customWidth="1"/>
    <col min="15369" max="15369" width="5.5546875" style="4" customWidth="1"/>
    <col min="15370" max="15616" width="11.44140625" style="4"/>
    <col min="15617" max="15617" width="4.5546875" style="4" customWidth="1"/>
    <col min="15618" max="15618" width="35.5546875" style="4" customWidth="1"/>
    <col min="15619" max="15619" width="11.5546875" style="4" customWidth="1"/>
    <col min="15620" max="15620" width="12.5546875" style="4" customWidth="1"/>
    <col min="15621" max="15621" width="15.5546875" style="4" customWidth="1"/>
    <col min="15622" max="15622" width="15.88671875" style="4" customWidth="1"/>
    <col min="15623" max="15623" width="15.5546875" style="4" customWidth="1"/>
    <col min="15624" max="15624" width="12.109375" style="4" customWidth="1"/>
    <col min="15625" max="15625" width="5.5546875" style="4" customWidth="1"/>
    <col min="15626" max="15872" width="11.44140625" style="4"/>
    <col min="15873" max="15873" width="4.5546875" style="4" customWidth="1"/>
    <col min="15874" max="15874" width="35.5546875" style="4" customWidth="1"/>
    <col min="15875" max="15875" width="11.5546875" style="4" customWidth="1"/>
    <col min="15876" max="15876" width="12.5546875" style="4" customWidth="1"/>
    <col min="15877" max="15877" width="15.5546875" style="4" customWidth="1"/>
    <col min="15878" max="15878" width="15.88671875" style="4" customWidth="1"/>
    <col min="15879" max="15879" width="15.5546875" style="4" customWidth="1"/>
    <col min="15880" max="15880" width="12.109375" style="4" customWidth="1"/>
    <col min="15881" max="15881" width="5.5546875" style="4" customWidth="1"/>
    <col min="15882" max="16128" width="11.44140625" style="4"/>
    <col min="16129" max="16129" width="4.5546875" style="4" customWidth="1"/>
    <col min="16130" max="16130" width="35.5546875" style="4" customWidth="1"/>
    <col min="16131" max="16131" width="11.5546875" style="4" customWidth="1"/>
    <col min="16132" max="16132" width="12.5546875" style="4" customWidth="1"/>
    <col min="16133" max="16133" width="15.5546875" style="4" customWidth="1"/>
    <col min="16134" max="16134" width="15.88671875" style="4" customWidth="1"/>
    <col min="16135" max="16135" width="15.5546875" style="4" customWidth="1"/>
    <col min="16136" max="16136" width="12.109375" style="4" customWidth="1"/>
    <col min="16137" max="16137" width="5.5546875" style="4" customWidth="1"/>
    <col min="16138" max="16384" width="11.44140625" style="4"/>
  </cols>
  <sheetData>
    <row r="1" spans="1:14" ht="12" customHeight="1">
      <c r="A1" s="1"/>
      <c r="B1" s="1"/>
      <c r="C1" s="1"/>
      <c r="D1" s="1"/>
      <c r="E1" s="2"/>
      <c r="F1" s="1"/>
      <c r="G1" s="3"/>
    </row>
    <row r="2" spans="1:14" s="12" customFormat="1" ht="12" customHeight="1">
      <c r="A2" s="5"/>
      <c r="B2" s="6" t="s">
        <v>209</v>
      </c>
      <c r="C2" s="7"/>
      <c r="D2" s="7"/>
      <c r="E2" s="8"/>
      <c r="F2" s="9"/>
      <c r="G2" s="10"/>
      <c r="H2" s="11"/>
    </row>
    <row r="3" spans="1:14" s="12" customFormat="1" ht="12" customHeight="1">
      <c r="A3" s="5"/>
      <c r="B3" s="6" t="s">
        <v>0</v>
      </c>
      <c r="C3" s="7"/>
      <c r="D3" s="7"/>
      <c r="E3" s="8"/>
      <c r="F3" s="9"/>
      <c r="G3" s="10"/>
      <c r="H3" s="11"/>
    </row>
    <row r="4" spans="1:14" s="12" customFormat="1" ht="12" customHeight="1">
      <c r="A4" s="5"/>
      <c r="B4" s="6" t="s">
        <v>210</v>
      </c>
      <c r="C4" s="13"/>
      <c r="D4" s="13"/>
      <c r="E4" s="8"/>
      <c r="F4" s="9"/>
      <c r="G4" s="10"/>
      <c r="H4" s="11"/>
      <c r="L4" s="187"/>
      <c r="M4" s="187"/>
      <c r="N4" s="14"/>
    </row>
    <row r="5" spans="1:14" s="12" customFormat="1" ht="12" customHeight="1">
      <c r="A5" s="5"/>
      <c r="B5" s="6"/>
      <c r="C5" s="13"/>
      <c r="D5" s="13"/>
      <c r="E5" s="8"/>
      <c r="F5" s="9"/>
      <c r="G5" s="10"/>
      <c r="H5" s="11"/>
      <c r="L5" s="15"/>
      <c r="M5" s="15"/>
      <c r="N5" s="14"/>
    </row>
    <row r="6" spans="1:14" s="12" customFormat="1" ht="12" customHeight="1">
      <c r="A6" s="188" t="s">
        <v>1</v>
      </c>
      <c r="B6" s="188"/>
      <c r="C6" s="188"/>
      <c r="D6" s="188"/>
      <c r="E6" s="188"/>
      <c r="F6" s="9"/>
      <c r="G6" s="10"/>
      <c r="H6" s="11"/>
      <c r="L6" s="187"/>
      <c r="M6" s="187"/>
      <c r="N6" s="16"/>
    </row>
    <row r="7" spans="1:14" s="12" customFormat="1" ht="12" customHeight="1">
      <c r="A7" s="188"/>
      <c r="B7" s="188"/>
      <c r="C7" s="188"/>
      <c r="D7" s="188"/>
      <c r="E7" s="188"/>
      <c r="F7" s="17"/>
      <c r="G7" s="17"/>
      <c r="H7" s="18"/>
      <c r="I7" s="18"/>
      <c r="L7" s="187"/>
      <c r="M7" s="187"/>
      <c r="N7" s="19"/>
    </row>
    <row r="8" spans="1:14" s="12" customFormat="1" ht="15.75" customHeight="1">
      <c r="A8" s="189" t="s">
        <v>2</v>
      </c>
      <c r="B8" s="189"/>
      <c r="C8" s="189"/>
      <c r="D8" s="189"/>
      <c r="E8" s="189"/>
      <c r="F8" s="20"/>
      <c r="G8" s="20"/>
      <c r="H8" s="21"/>
      <c r="I8" s="21"/>
      <c r="L8" s="187"/>
      <c r="M8" s="187"/>
      <c r="N8" s="22"/>
    </row>
    <row r="9" spans="1:14" s="12" customFormat="1" ht="12" customHeight="1">
      <c r="A9" s="5"/>
      <c r="B9" s="23"/>
      <c r="C9" s="23"/>
      <c r="D9" s="23"/>
      <c r="E9" s="23"/>
      <c r="F9" s="23"/>
      <c r="G9" s="23"/>
      <c r="H9" s="24"/>
      <c r="I9" s="24"/>
      <c r="L9" s="187"/>
      <c r="M9" s="187"/>
      <c r="N9" s="25"/>
    </row>
    <row r="10" spans="1:14" s="12" customFormat="1" ht="12" customHeight="1">
      <c r="A10" s="187" t="s">
        <v>3</v>
      </c>
      <c r="B10" s="187"/>
      <c r="C10" s="4" t="s">
        <v>4</v>
      </c>
      <c r="D10" s="4"/>
      <c r="E10" s="187"/>
      <c r="F10" s="187"/>
      <c r="G10" s="14"/>
      <c r="H10" s="14"/>
      <c r="L10" s="190"/>
      <c r="M10" s="190"/>
      <c r="N10" s="26"/>
    </row>
    <row r="11" spans="1:14" s="12" customFormat="1" ht="12" customHeight="1">
      <c r="A11" s="187" t="s">
        <v>5</v>
      </c>
      <c r="B11" s="187"/>
      <c r="C11" s="12" t="s">
        <v>6</v>
      </c>
      <c r="E11" s="187" t="s">
        <v>7</v>
      </c>
      <c r="F11" s="187"/>
      <c r="G11" s="16" t="s">
        <v>8</v>
      </c>
      <c r="H11" s="16"/>
    </row>
    <row r="12" spans="1:14" s="12" customFormat="1" ht="12" customHeight="1">
      <c r="A12" s="187" t="s">
        <v>9</v>
      </c>
      <c r="B12" s="187"/>
      <c r="C12" s="12" t="s">
        <v>10</v>
      </c>
      <c r="E12" s="187" t="s">
        <v>11</v>
      </c>
      <c r="F12" s="187"/>
      <c r="G12" s="16" t="s">
        <v>12</v>
      </c>
      <c r="H12" s="16"/>
    </row>
    <row r="13" spans="1:14" s="12" customFormat="1" ht="12" customHeight="1">
      <c r="A13" s="187" t="s">
        <v>13</v>
      </c>
      <c r="B13" s="187"/>
      <c r="C13" s="12" t="s">
        <v>14</v>
      </c>
      <c r="E13" s="187" t="s">
        <v>15</v>
      </c>
      <c r="F13" s="187"/>
      <c r="G13" s="16" t="s">
        <v>16</v>
      </c>
      <c r="H13" s="16"/>
    </row>
    <row r="14" spans="1:14" s="12" customFormat="1" ht="12" customHeight="1">
      <c r="A14" s="187" t="s">
        <v>17</v>
      </c>
      <c r="B14" s="187"/>
      <c r="C14" s="12" t="s">
        <v>18</v>
      </c>
      <c r="E14" s="187" t="s">
        <v>19</v>
      </c>
      <c r="F14" s="187"/>
      <c r="G14" s="19"/>
      <c r="H14" s="19"/>
    </row>
    <row r="15" spans="1:14" s="12" customFormat="1" ht="12" customHeight="1">
      <c r="A15" s="187" t="s">
        <v>20</v>
      </c>
      <c r="B15" s="187"/>
      <c r="C15" s="12" t="s">
        <v>21</v>
      </c>
      <c r="E15" s="187" t="s">
        <v>22</v>
      </c>
      <c r="F15" s="187"/>
      <c r="G15" s="22"/>
      <c r="H15" s="22"/>
    </row>
    <row r="16" spans="1:14" s="12" customFormat="1" ht="12" customHeight="1">
      <c r="A16" s="187" t="s">
        <v>23</v>
      </c>
      <c r="B16" s="187"/>
      <c r="C16" s="12" t="s">
        <v>198</v>
      </c>
      <c r="E16" s="187" t="s">
        <v>243</v>
      </c>
      <c r="F16" s="187"/>
      <c r="G16" s="22">
        <v>20000</v>
      </c>
      <c r="H16" s="22"/>
    </row>
    <row r="17" spans="1:17" s="12" customFormat="1" ht="12" customHeight="1">
      <c r="A17" s="187" t="s">
        <v>24</v>
      </c>
      <c r="B17" s="187"/>
      <c r="C17" s="27" t="s">
        <v>211</v>
      </c>
      <c r="D17" s="27"/>
      <c r="E17" s="187" t="s">
        <v>25</v>
      </c>
      <c r="F17" s="187"/>
      <c r="G17" s="25">
        <v>45504</v>
      </c>
      <c r="H17" s="25"/>
      <c r="J17"/>
    </row>
    <row r="18" spans="1:17" s="12" customFormat="1" ht="12" customHeight="1">
      <c r="A18" s="187" t="s">
        <v>26</v>
      </c>
      <c r="B18" s="187"/>
      <c r="C18" s="12" t="s">
        <v>27</v>
      </c>
      <c r="E18" s="190" t="s">
        <v>28</v>
      </c>
      <c r="F18" s="190"/>
      <c r="G18" s="28" t="s">
        <v>160</v>
      </c>
      <c r="H18" s="26"/>
    </row>
    <row r="19" spans="1:17" s="12" customFormat="1" ht="12" customHeight="1" thickBot="1">
      <c r="A19" s="29"/>
      <c r="B19" s="29"/>
      <c r="E19" s="30"/>
      <c r="F19" s="31"/>
      <c r="G19" s="11">
        <v>3.73</v>
      </c>
      <c r="H19" s="32"/>
    </row>
    <row r="20" spans="1:17" s="12" customFormat="1" ht="12" customHeight="1">
      <c r="A20" s="192" t="s">
        <v>29</v>
      </c>
      <c r="B20" s="195" t="s">
        <v>30</v>
      </c>
      <c r="C20" s="198" t="s">
        <v>31</v>
      </c>
      <c r="D20" s="33" t="s">
        <v>32</v>
      </c>
      <c r="E20" s="201" t="s">
        <v>33</v>
      </c>
      <c r="F20" s="198" t="s">
        <v>34</v>
      </c>
      <c r="G20" s="204" t="s">
        <v>35</v>
      </c>
      <c r="H20" s="32"/>
    </row>
    <row r="21" spans="1:17" s="12" customFormat="1" ht="12" customHeight="1">
      <c r="A21" s="193"/>
      <c r="B21" s="196"/>
      <c r="C21" s="199"/>
      <c r="D21" s="34" t="s">
        <v>36</v>
      </c>
      <c r="E21" s="202"/>
      <c r="F21" s="199"/>
      <c r="G21" s="205"/>
      <c r="H21" s="32"/>
    </row>
    <row r="22" spans="1:17" s="12" customFormat="1" ht="12" customHeight="1" thickBot="1">
      <c r="A22" s="194"/>
      <c r="B22" s="197"/>
      <c r="C22" s="200"/>
      <c r="D22" s="35" t="s">
        <v>37</v>
      </c>
      <c r="E22" s="203"/>
      <c r="F22" s="200"/>
      <c r="G22" s="206"/>
      <c r="H22" s="32"/>
    </row>
    <row r="23" spans="1:17" s="12" customFormat="1" ht="12" customHeight="1" thickBot="1">
      <c r="A23" s="36"/>
      <c r="B23" s="37"/>
      <c r="C23" s="38"/>
      <c r="D23" s="38"/>
      <c r="E23" s="39"/>
      <c r="F23" s="38"/>
      <c r="G23" s="40"/>
      <c r="H23" s="32"/>
    </row>
    <row r="24" spans="1:17" s="12" customFormat="1" ht="12" customHeight="1" thickBot="1">
      <c r="A24" s="41" t="s">
        <v>38</v>
      </c>
      <c r="B24" s="42" t="s">
        <v>39</v>
      </c>
      <c r="C24" s="43"/>
      <c r="D24" s="43"/>
      <c r="E24" s="44"/>
      <c r="F24" s="43"/>
      <c r="G24" s="45">
        <f>SUM(G26+G50+G57+G86)</f>
        <v>9853.34</v>
      </c>
      <c r="H24" s="32"/>
      <c r="I24" s="167" t="s">
        <v>161</v>
      </c>
      <c r="J24" s="168" t="s">
        <v>162</v>
      </c>
      <c r="K24" s="169" t="s">
        <v>163</v>
      </c>
      <c r="L24" s="170" t="s">
        <v>164</v>
      </c>
      <c r="N24" s="243" t="s">
        <v>161</v>
      </c>
      <c r="O24" s="244" t="s">
        <v>162</v>
      </c>
      <c r="P24" s="245" t="s">
        <v>163</v>
      </c>
      <c r="Q24" s="246" t="s">
        <v>164</v>
      </c>
    </row>
    <row r="25" spans="1:17" s="12" customFormat="1" ht="12" customHeight="1" thickBot="1">
      <c r="A25" s="46"/>
      <c r="B25" s="37" t="s">
        <v>40</v>
      </c>
      <c r="E25" s="30"/>
      <c r="G25" s="47"/>
      <c r="I25" s="171" t="s">
        <v>157</v>
      </c>
      <c r="J25" s="172"/>
      <c r="K25" s="172">
        <f>+D15</f>
        <v>0</v>
      </c>
      <c r="L25" s="173" t="s">
        <v>165</v>
      </c>
      <c r="N25" s="247" t="s">
        <v>157</v>
      </c>
      <c r="O25" s="237"/>
      <c r="P25" s="238">
        <f>+G19</f>
        <v>3.73</v>
      </c>
      <c r="Q25" s="248" t="s">
        <v>165</v>
      </c>
    </row>
    <row r="26" spans="1:17" s="12" customFormat="1" ht="12" customHeight="1" thickBot="1">
      <c r="A26" s="48" t="s">
        <v>41</v>
      </c>
      <c r="B26" s="49" t="s">
        <v>42</v>
      </c>
      <c r="C26" s="50"/>
      <c r="D26" s="51"/>
      <c r="E26" s="52">
        <f>SUM(E27+E33+E38+E45)</f>
        <v>65</v>
      </c>
      <c r="F26" s="51"/>
      <c r="G26" s="53">
        <f>SUM(G27+G33+G38+G45)</f>
        <v>3250</v>
      </c>
      <c r="H26" s="54"/>
      <c r="I26" s="174" t="s">
        <v>166</v>
      </c>
      <c r="J26" s="175" t="s">
        <v>167</v>
      </c>
      <c r="K26" s="175">
        <v>50</v>
      </c>
      <c r="L26" s="176">
        <f>+K26/$G$19</f>
        <v>13.404825737265416</v>
      </c>
      <c r="N26" s="249" t="s">
        <v>166</v>
      </c>
      <c r="O26" s="239" t="s">
        <v>167</v>
      </c>
      <c r="P26" s="239">
        <v>50</v>
      </c>
      <c r="Q26" s="250">
        <f>+P26/$G$19</f>
        <v>13.404825737265416</v>
      </c>
    </row>
    <row r="27" spans="1:17" s="12" customFormat="1" ht="11.4" customHeight="1">
      <c r="A27" s="55">
        <v>1</v>
      </c>
      <c r="B27" s="56" t="s">
        <v>43</v>
      </c>
      <c r="C27" s="29"/>
      <c r="D27" s="56"/>
      <c r="E27" s="57">
        <f>SUM(E28:E31)</f>
        <v>7</v>
      </c>
      <c r="F27" s="56"/>
      <c r="G27" s="58">
        <f>SUM(G28:G31)</f>
        <v>350</v>
      </c>
      <c r="H27" s="54"/>
      <c r="I27" s="174" t="s">
        <v>168</v>
      </c>
      <c r="J27" s="175" t="s">
        <v>169</v>
      </c>
      <c r="K27" s="175">
        <v>0.75</v>
      </c>
      <c r="L27" s="176">
        <f t="shared" ref="L27:L54" si="0">+K27/$G$19</f>
        <v>0.20107238605898123</v>
      </c>
      <c r="N27" s="249" t="s">
        <v>168</v>
      </c>
      <c r="O27" s="239" t="s">
        <v>169</v>
      </c>
      <c r="P27" s="239">
        <v>0.75</v>
      </c>
      <c r="Q27" s="250">
        <f t="shared" ref="Q27:Q67" si="1">+P27/$G$19</f>
        <v>0.20107238605898123</v>
      </c>
    </row>
    <row r="28" spans="1:17" s="12" customFormat="1" ht="11.4" customHeight="1">
      <c r="A28" s="46"/>
      <c r="B28" s="59" t="s">
        <v>44</v>
      </c>
      <c r="C28" s="60" t="s">
        <v>45</v>
      </c>
      <c r="D28" s="61" t="s">
        <v>46</v>
      </c>
      <c r="E28" s="30">
        <v>2</v>
      </c>
      <c r="F28" s="62">
        <f>+$K$26</f>
        <v>50</v>
      </c>
      <c r="G28" s="47">
        <f>(E28*F28)</f>
        <v>100</v>
      </c>
      <c r="H28" s="32"/>
      <c r="I28" s="174" t="s">
        <v>170</v>
      </c>
      <c r="J28" s="175" t="s">
        <v>167</v>
      </c>
      <c r="K28" s="175">
        <v>95</v>
      </c>
      <c r="L28" s="176">
        <f t="shared" si="0"/>
        <v>25.469168900804291</v>
      </c>
      <c r="N28" s="249" t="s">
        <v>170</v>
      </c>
      <c r="O28" s="239" t="s">
        <v>167</v>
      </c>
      <c r="P28" s="239">
        <v>95</v>
      </c>
      <c r="Q28" s="250">
        <f t="shared" si="1"/>
        <v>25.469168900804291</v>
      </c>
    </row>
    <row r="29" spans="1:17" s="12" customFormat="1" ht="11.4" customHeight="1">
      <c r="A29" s="46"/>
      <c r="B29" s="63" t="s">
        <v>47</v>
      </c>
      <c r="C29" s="60" t="s">
        <v>48</v>
      </c>
      <c r="D29" s="61" t="s">
        <v>49</v>
      </c>
      <c r="E29" s="30">
        <v>2</v>
      </c>
      <c r="F29" s="62">
        <f t="shared" ref="F29:F31" si="2">+$K$26</f>
        <v>50</v>
      </c>
      <c r="G29" s="47">
        <f>(E29*F29)</f>
        <v>100</v>
      </c>
      <c r="H29" s="32"/>
      <c r="I29" s="177" t="s">
        <v>171</v>
      </c>
      <c r="J29" s="175"/>
      <c r="K29" s="175">
        <v>100</v>
      </c>
      <c r="L29" s="176">
        <f t="shared" si="0"/>
        <v>26.809651474530831</v>
      </c>
      <c r="N29" s="251" t="s">
        <v>171</v>
      </c>
      <c r="O29" s="239"/>
      <c r="P29" s="239">
        <v>100</v>
      </c>
      <c r="Q29" s="250">
        <f t="shared" si="1"/>
        <v>26.809651474530831</v>
      </c>
    </row>
    <row r="30" spans="1:17" s="12" customFormat="1" ht="11.4" customHeight="1">
      <c r="A30" s="46"/>
      <c r="B30" s="63" t="s">
        <v>50</v>
      </c>
      <c r="C30" s="60" t="s">
        <v>48</v>
      </c>
      <c r="D30" s="61" t="s">
        <v>49</v>
      </c>
      <c r="E30" s="30">
        <v>2</v>
      </c>
      <c r="F30" s="62">
        <f t="shared" si="2"/>
        <v>50</v>
      </c>
      <c r="G30" s="47">
        <f>(E30*F30)</f>
        <v>100</v>
      </c>
      <c r="H30" s="32"/>
      <c r="I30" s="174" t="s">
        <v>172</v>
      </c>
      <c r="J30" s="175"/>
      <c r="K30" s="175">
        <v>90</v>
      </c>
      <c r="L30" s="176">
        <f t="shared" si="0"/>
        <v>24.128686327077748</v>
      </c>
      <c r="N30" s="249" t="s">
        <v>172</v>
      </c>
      <c r="O30" s="239"/>
      <c r="P30" s="239">
        <v>90</v>
      </c>
      <c r="Q30" s="250">
        <f t="shared" si="1"/>
        <v>24.128686327077748</v>
      </c>
    </row>
    <row r="31" spans="1:17" s="12" customFormat="1" ht="11.4" customHeight="1">
      <c r="A31" s="46"/>
      <c r="B31" s="63" t="s">
        <v>51</v>
      </c>
      <c r="C31" s="60" t="s">
        <v>48</v>
      </c>
      <c r="D31" s="61" t="s">
        <v>49</v>
      </c>
      <c r="E31" s="30">
        <v>1</v>
      </c>
      <c r="F31" s="62">
        <f t="shared" si="2"/>
        <v>50</v>
      </c>
      <c r="G31" s="47">
        <f>(E31*F31)</f>
        <v>50</v>
      </c>
      <c r="H31" s="32"/>
      <c r="I31" s="174" t="s">
        <v>173</v>
      </c>
      <c r="J31" s="175"/>
      <c r="K31" s="175">
        <v>90</v>
      </c>
      <c r="L31" s="176">
        <f t="shared" si="0"/>
        <v>24.128686327077748</v>
      </c>
      <c r="N31" s="249" t="s">
        <v>173</v>
      </c>
      <c r="O31" s="239"/>
      <c r="P31" s="239">
        <v>90</v>
      </c>
      <c r="Q31" s="250">
        <f t="shared" si="1"/>
        <v>24.128686327077748</v>
      </c>
    </row>
    <row r="32" spans="1:17" s="12" customFormat="1" ht="11.4" customHeight="1">
      <c r="A32" s="46"/>
      <c r="B32" s="63"/>
      <c r="C32" s="60"/>
      <c r="D32" s="61"/>
      <c r="E32" s="30"/>
      <c r="F32" s="62"/>
      <c r="G32" s="47"/>
      <c r="H32" s="32"/>
      <c r="I32" s="178" t="s">
        <v>174</v>
      </c>
      <c r="J32" s="175"/>
      <c r="K32" s="175">
        <v>90</v>
      </c>
      <c r="L32" s="176">
        <f t="shared" si="0"/>
        <v>24.128686327077748</v>
      </c>
      <c r="N32" s="252" t="s">
        <v>174</v>
      </c>
      <c r="O32" s="239"/>
      <c r="P32" s="239">
        <v>90</v>
      </c>
      <c r="Q32" s="250">
        <f t="shared" si="1"/>
        <v>24.128686327077748</v>
      </c>
    </row>
    <row r="33" spans="1:17" s="12" customFormat="1" ht="11.4" customHeight="1">
      <c r="A33" s="36">
        <v>2</v>
      </c>
      <c r="B33" s="64" t="s">
        <v>52</v>
      </c>
      <c r="C33" s="37"/>
      <c r="D33" s="65"/>
      <c r="E33" s="57">
        <f>SUM(E34:E36)</f>
        <v>10</v>
      </c>
      <c r="F33" s="64"/>
      <c r="G33" s="66">
        <f>SUM(G34:G36)</f>
        <v>500</v>
      </c>
      <c r="H33" s="54"/>
      <c r="I33" s="178" t="s">
        <v>175</v>
      </c>
      <c r="J33" s="175" t="s">
        <v>176</v>
      </c>
      <c r="K33" s="175">
        <f>95/25</f>
        <v>3.8</v>
      </c>
      <c r="L33" s="176">
        <f t="shared" si="0"/>
        <v>1.0187667560321716</v>
      </c>
      <c r="N33" s="252" t="s">
        <v>175</v>
      </c>
      <c r="O33" s="239" t="s">
        <v>176</v>
      </c>
      <c r="P33" s="239">
        <v>20</v>
      </c>
      <c r="Q33" s="250">
        <f t="shared" si="1"/>
        <v>5.3619302949061662</v>
      </c>
    </row>
    <row r="34" spans="1:17" s="12" customFormat="1" ht="11.4" customHeight="1">
      <c r="A34" s="36"/>
      <c r="B34" s="67" t="s">
        <v>53</v>
      </c>
      <c r="C34" s="68" t="s">
        <v>48</v>
      </c>
      <c r="D34" s="69" t="s">
        <v>49</v>
      </c>
      <c r="E34" s="70">
        <v>3</v>
      </c>
      <c r="F34" s="62">
        <f t="shared" ref="F34:F36" si="3">+$K$26</f>
        <v>50</v>
      </c>
      <c r="G34" s="47">
        <f>(E34*F34)</f>
        <v>150</v>
      </c>
      <c r="H34" s="32"/>
      <c r="I34" s="174" t="s">
        <v>177</v>
      </c>
      <c r="J34" s="175" t="s">
        <v>178</v>
      </c>
      <c r="K34" s="175">
        <v>125</v>
      </c>
      <c r="L34" s="176">
        <f t="shared" si="0"/>
        <v>33.512064343163537</v>
      </c>
      <c r="N34" s="249" t="s">
        <v>177</v>
      </c>
      <c r="O34" s="239" t="s">
        <v>178</v>
      </c>
      <c r="P34" s="240">
        <v>125</v>
      </c>
      <c r="Q34" s="250">
        <f t="shared" si="1"/>
        <v>33.512064343163537</v>
      </c>
    </row>
    <row r="35" spans="1:17" s="12" customFormat="1" ht="11.4" customHeight="1">
      <c r="A35" s="36"/>
      <c r="B35" s="67" t="s">
        <v>54</v>
      </c>
      <c r="C35" s="68" t="s">
        <v>45</v>
      </c>
      <c r="D35" s="69" t="s">
        <v>46</v>
      </c>
      <c r="E35" s="70">
        <v>6</v>
      </c>
      <c r="F35" s="62">
        <f t="shared" si="3"/>
        <v>50</v>
      </c>
      <c r="G35" s="47">
        <f>(E35*F35)</f>
        <v>300</v>
      </c>
      <c r="H35" s="32"/>
      <c r="I35" s="174" t="s">
        <v>179</v>
      </c>
      <c r="J35" s="175"/>
      <c r="K35" s="175">
        <v>90</v>
      </c>
      <c r="L35" s="176">
        <f t="shared" si="0"/>
        <v>24.128686327077748</v>
      </c>
      <c r="N35" s="249" t="s">
        <v>179</v>
      </c>
      <c r="O35" s="239"/>
      <c r="P35" s="239">
        <v>80</v>
      </c>
      <c r="Q35" s="250">
        <f t="shared" si="1"/>
        <v>21.447721179624665</v>
      </c>
    </row>
    <row r="36" spans="1:17" s="12" customFormat="1" ht="11.4" customHeight="1">
      <c r="A36" s="46"/>
      <c r="B36" s="67" t="s">
        <v>55</v>
      </c>
      <c r="C36" s="68" t="s">
        <v>45</v>
      </c>
      <c r="D36" s="69" t="s">
        <v>46</v>
      </c>
      <c r="E36" s="70">
        <v>1</v>
      </c>
      <c r="F36" s="62">
        <f t="shared" si="3"/>
        <v>50</v>
      </c>
      <c r="G36" s="47">
        <f>(E36*F36)</f>
        <v>50</v>
      </c>
      <c r="H36" s="32"/>
      <c r="I36" s="179" t="s">
        <v>180</v>
      </c>
      <c r="J36" s="175" t="s">
        <v>178</v>
      </c>
      <c r="K36" s="180">
        <v>280</v>
      </c>
      <c r="L36" s="176">
        <f t="shared" si="0"/>
        <v>75.067024128686327</v>
      </c>
      <c r="N36" s="253" t="s">
        <v>180</v>
      </c>
      <c r="O36" s="239" t="s">
        <v>178</v>
      </c>
      <c r="P36" s="240">
        <v>280</v>
      </c>
      <c r="Q36" s="250">
        <f t="shared" si="1"/>
        <v>75.067024128686327</v>
      </c>
    </row>
    <row r="37" spans="1:17" s="12" customFormat="1" ht="11.4" customHeight="1">
      <c r="A37" s="46"/>
      <c r="B37" s="67"/>
      <c r="C37" s="68"/>
      <c r="D37" s="69"/>
      <c r="E37" s="70"/>
      <c r="F37" s="62"/>
      <c r="G37" s="47"/>
      <c r="H37" s="32"/>
      <c r="I37" s="181" t="s">
        <v>81</v>
      </c>
      <c r="J37" s="175" t="s">
        <v>178</v>
      </c>
      <c r="K37" s="180">
        <v>134.5</v>
      </c>
      <c r="L37" s="176">
        <f t="shared" si="0"/>
        <v>36.058981233243969</v>
      </c>
      <c r="N37" s="254" t="s">
        <v>81</v>
      </c>
      <c r="O37" s="239" t="s">
        <v>178</v>
      </c>
      <c r="P37" s="240">
        <v>134.5</v>
      </c>
      <c r="Q37" s="250">
        <f t="shared" si="1"/>
        <v>36.058981233243969</v>
      </c>
    </row>
    <row r="38" spans="1:17" s="12" customFormat="1" ht="11.4" customHeight="1">
      <c r="A38" s="36">
        <v>3</v>
      </c>
      <c r="B38" s="64" t="s">
        <v>56</v>
      </c>
      <c r="C38" s="37"/>
      <c r="D38" s="65"/>
      <c r="E38" s="57">
        <f>SUM(E39:E43)</f>
        <v>21</v>
      </c>
      <c r="F38" s="64"/>
      <c r="G38" s="58">
        <f>SUM(G39:G43)</f>
        <v>1050</v>
      </c>
      <c r="H38" s="54"/>
      <c r="I38" s="181" t="s">
        <v>78</v>
      </c>
      <c r="J38" s="175" t="s">
        <v>178</v>
      </c>
      <c r="K38" s="175">
        <v>200</v>
      </c>
      <c r="L38" s="176">
        <f t="shared" si="0"/>
        <v>53.619302949061662</v>
      </c>
      <c r="N38" s="254" t="s">
        <v>78</v>
      </c>
      <c r="O38" s="239" t="s">
        <v>178</v>
      </c>
      <c r="P38" s="239">
        <v>200</v>
      </c>
      <c r="Q38" s="250">
        <f t="shared" si="1"/>
        <v>53.619302949061662</v>
      </c>
    </row>
    <row r="39" spans="1:17" s="12" customFormat="1" ht="11.4" customHeight="1">
      <c r="A39" s="46"/>
      <c r="B39" s="63" t="s">
        <v>57</v>
      </c>
      <c r="C39" s="68" t="s">
        <v>45</v>
      </c>
      <c r="D39" s="69" t="s">
        <v>46</v>
      </c>
      <c r="E39" s="30">
        <v>2</v>
      </c>
      <c r="F39" s="62">
        <f t="shared" ref="F39:F43" si="4">+$K$26</f>
        <v>50</v>
      </c>
      <c r="G39" s="47">
        <f>(E39*F39)</f>
        <v>100</v>
      </c>
      <c r="H39" s="32"/>
      <c r="I39" s="181" t="s">
        <v>181</v>
      </c>
      <c r="J39" s="175" t="s">
        <v>178</v>
      </c>
      <c r="K39" s="175">
        <v>187</v>
      </c>
      <c r="L39" s="176">
        <f t="shared" si="0"/>
        <v>50.134048257372655</v>
      </c>
      <c r="N39" s="254" t="s">
        <v>181</v>
      </c>
      <c r="O39" s="239" t="s">
        <v>178</v>
      </c>
      <c r="P39" s="239">
        <v>187</v>
      </c>
      <c r="Q39" s="250">
        <f t="shared" si="1"/>
        <v>50.134048257372655</v>
      </c>
    </row>
    <row r="40" spans="1:17" s="12" customFormat="1" ht="11.4" customHeight="1">
      <c r="A40" s="46"/>
      <c r="B40" s="63" t="s">
        <v>58</v>
      </c>
      <c r="C40" s="60" t="s">
        <v>48</v>
      </c>
      <c r="D40" s="61" t="s">
        <v>49</v>
      </c>
      <c r="E40" s="30">
        <v>2</v>
      </c>
      <c r="F40" s="62">
        <f t="shared" si="4"/>
        <v>50</v>
      </c>
      <c r="G40" s="47">
        <f>(E40*F40)</f>
        <v>100</v>
      </c>
      <c r="H40" s="32"/>
      <c r="I40" s="181" t="s">
        <v>82</v>
      </c>
      <c r="J40" s="182" t="s">
        <v>182</v>
      </c>
      <c r="K40" s="175">
        <v>22.5</v>
      </c>
      <c r="L40" s="176">
        <f t="shared" si="0"/>
        <v>6.032171581769437</v>
      </c>
      <c r="N40" s="254" t="s">
        <v>82</v>
      </c>
      <c r="O40" s="241" t="s">
        <v>182</v>
      </c>
      <c r="P40" s="239">
        <v>22.5</v>
      </c>
      <c r="Q40" s="250">
        <f t="shared" si="1"/>
        <v>6.032171581769437</v>
      </c>
    </row>
    <row r="41" spans="1:17" s="12" customFormat="1" ht="11.4" customHeight="1">
      <c r="A41" s="46"/>
      <c r="B41" s="63" t="s">
        <v>59</v>
      </c>
      <c r="C41" s="60" t="s">
        <v>48</v>
      </c>
      <c r="D41" s="61" t="s">
        <v>49</v>
      </c>
      <c r="E41" s="30">
        <v>1</v>
      </c>
      <c r="F41" s="62">
        <f t="shared" si="4"/>
        <v>50</v>
      </c>
      <c r="G41" s="47">
        <f>(E41*F41)</f>
        <v>50</v>
      </c>
      <c r="H41" s="32"/>
      <c r="I41" s="174" t="s">
        <v>183</v>
      </c>
      <c r="J41" s="175"/>
      <c r="K41" s="175">
        <v>130</v>
      </c>
      <c r="L41" s="176">
        <f t="shared" si="0"/>
        <v>34.852546916890084</v>
      </c>
      <c r="N41" s="249" t="s">
        <v>183</v>
      </c>
      <c r="O41" s="239"/>
      <c r="P41" s="239">
        <v>130</v>
      </c>
      <c r="Q41" s="250">
        <f t="shared" si="1"/>
        <v>34.852546916890084</v>
      </c>
    </row>
    <row r="42" spans="1:17" s="12" customFormat="1" ht="11.4" customHeight="1">
      <c r="A42" s="46"/>
      <c r="B42" s="63" t="s">
        <v>60</v>
      </c>
      <c r="C42" s="60" t="s">
        <v>48</v>
      </c>
      <c r="D42" s="61" t="s">
        <v>49</v>
      </c>
      <c r="E42" s="30">
        <v>12</v>
      </c>
      <c r="F42" s="62">
        <f t="shared" si="4"/>
        <v>50</v>
      </c>
      <c r="G42" s="47">
        <f>(E42*F42)</f>
        <v>600</v>
      </c>
      <c r="H42" s="32"/>
      <c r="I42" s="179" t="s">
        <v>184</v>
      </c>
      <c r="J42" s="175"/>
      <c r="K42" s="175">
        <v>65</v>
      </c>
      <c r="L42" s="176">
        <f t="shared" si="0"/>
        <v>17.426273458445042</v>
      </c>
      <c r="N42" s="253" t="s">
        <v>184</v>
      </c>
      <c r="O42" s="239"/>
      <c r="P42" s="239">
        <v>65</v>
      </c>
      <c r="Q42" s="250">
        <f t="shared" si="1"/>
        <v>17.426273458445042</v>
      </c>
    </row>
    <row r="43" spans="1:17" s="12" customFormat="1" ht="11.4" customHeight="1">
      <c r="A43" s="46"/>
      <c r="B43" s="63" t="s">
        <v>61</v>
      </c>
      <c r="C43" s="60" t="s">
        <v>48</v>
      </c>
      <c r="D43" s="61" t="s">
        <v>49</v>
      </c>
      <c r="E43" s="30">
        <v>4</v>
      </c>
      <c r="F43" s="62">
        <f t="shared" si="4"/>
        <v>50</v>
      </c>
      <c r="G43" s="47">
        <f>(E43*F43)</f>
        <v>200</v>
      </c>
      <c r="H43" s="32"/>
      <c r="I43" s="174" t="s">
        <v>185</v>
      </c>
      <c r="J43" s="175"/>
      <c r="K43" s="175">
        <v>24</v>
      </c>
      <c r="L43" s="176">
        <f t="shared" si="0"/>
        <v>6.4343163538873993</v>
      </c>
      <c r="N43" s="249" t="s">
        <v>185</v>
      </c>
      <c r="O43" s="239"/>
      <c r="P43" s="239">
        <v>24</v>
      </c>
      <c r="Q43" s="250">
        <f t="shared" si="1"/>
        <v>6.4343163538873993</v>
      </c>
    </row>
    <row r="44" spans="1:17" s="12" customFormat="1" ht="11.4" customHeight="1">
      <c r="A44" s="46"/>
      <c r="B44" s="63"/>
      <c r="C44" s="60"/>
      <c r="D44" s="61"/>
      <c r="E44" s="30"/>
      <c r="F44" s="62"/>
      <c r="G44" s="47"/>
      <c r="H44" s="32"/>
      <c r="I44" s="174" t="s">
        <v>186</v>
      </c>
      <c r="J44" s="175"/>
      <c r="K44" s="186">
        <f>+I81</f>
        <v>2.9350000000000001</v>
      </c>
      <c r="L44" s="176">
        <f t="shared" si="0"/>
        <v>0.78686327077747986</v>
      </c>
      <c r="N44" s="249" t="s">
        <v>186</v>
      </c>
      <c r="O44" s="239"/>
      <c r="P44" s="242">
        <v>3.57</v>
      </c>
      <c r="Q44" s="250">
        <f t="shared" si="1"/>
        <v>0.95710455764075064</v>
      </c>
    </row>
    <row r="45" spans="1:17" s="12" customFormat="1" ht="11.4" customHeight="1">
      <c r="A45" s="36">
        <v>4</v>
      </c>
      <c r="B45" s="71" t="s">
        <v>62</v>
      </c>
      <c r="C45" s="37"/>
      <c r="D45" s="65"/>
      <c r="E45" s="57">
        <f>SUM(E46:E48)</f>
        <v>27</v>
      </c>
      <c r="F45" s="64"/>
      <c r="G45" s="58">
        <f>SUM(G46:G48)</f>
        <v>1350</v>
      </c>
      <c r="H45" s="54"/>
      <c r="I45" s="181" t="s">
        <v>187</v>
      </c>
      <c r="J45" s="175" t="s">
        <v>188</v>
      </c>
      <c r="K45" s="175">
        <v>0.05</v>
      </c>
      <c r="L45" s="176">
        <f t="shared" si="0"/>
        <v>1.3404825737265416E-2</v>
      </c>
      <c r="N45" s="249" t="s">
        <v>187</v>
      </c>
      <c r="O45" s="239" t="s">
        <v>188</v>
      </c>
      <c r="P45" s="239">
        <v>0.05</v>
      </c>
      <c r="Q45" s="250">
        <f t="shared" si="1"/>
        <v>1.3404825737265416E-2</v>
      </c>
    </row>
    <row r="46" spans="1:17" s="12" customFormat="1" ht="11.4" customHeight="1">
      <c r="A46" s="46"/>
      <c r="B46" s="72" t="s">
        <v>63</v>
      </c>
      <c r="C46" s="68" t="s">
        <v>45</v>
      </c>
      <c r="D46" s="69" t="s">
        <v>46</v>
      </c>
      <c r="E46" s="30">
        <v>25</v>
      </c>
      <c r="F46" s="62">
        <f t="shared" ref="F46:F47" si="5">+$K$26</f>
        <v>50</v>
      </c>
      <c r="G46" s="47">
        <f>(E46*F46)</f>
        <v>1250</v>
      </c>
      <c r="H46" s="32"/>
      <c r="I46" s="181" t="s">
        <v>189</v>
      </c>
      <c r="J46" s="182"/>
      <c r="K46" s="175">
        <v>67.84</v>
      </c>
      <c r="L46" s="176">
        <f t="shared" si="0"/>
        <v>18.187667560321717</v>
      </c>
      <c r="N46" s="254" t="s">
        <v>199</v>
      </c>
      <c r="O46" s="239"/>
      <c r="P46" s="239">
        <v>22</v>
      </c>
      <c r="Q46" s="250">
        <f t="shared" si="1"/>
        <v>5.8981233243967832</v>
      </c>
    </row>
    <row r="47" spans="1:17" s="12" customFormat="1" ht="11.4" customHeight="1">
      <c r="A47" s="46"/>
      <c r="B47" s="72" t="s">
        <v>64</v>
      </c>
      <c r="C47" s="60" t="s">
        <v>48</v>
      </c>
      <c r="D47" s="61" t="s">
        <v>49</v>
      </c>
      <c r="E47" s="30">
        <v>2</v>
      </c>
      <c r="F47" s="62">
        <f t="shared" si="5"/>
        <v>50</v>
      </c>
      <c r="G47" s="47">
        <f>(E47*F47)</f>
        <v>100</v>
      </c>
      <c r="H47" s="32"/>
      <c r="I47" s="174" t="s">
        <v>190</v>
      </c>
      <c r="J47" s="175"/>
      <c r="K47" s="175">
        <v>47.5</v>
      </c>
      <c r="L47" s="176">
        <f t="shared" si="0"/>
        <v>12.734584450402146</v>
      </c>
      <c r="N47" s="254" t="s">
        <v>189</v>
      </c>
      <c r="O47" s="241"/>
      <c r="P47" s="239">
        <v>67.84</v>
      </c>
      <c r="Q47" s="250">
        <f t="shared" si="1"/>
        <v>18.187667560321717</v>
      </c>
    </row>
    <row r="48" spans="1:17" s="12" customFormat="1" ht="13.5" customHeight="1" thickBot="1">
      <c r="A48" s="73"/>
      <c r="B48" s="74"/>
      <c r="C48" s="75"/>
      <c r="D48" s="76"/>
      <c r="E48" s="77"/>
      <c r="F48" s="78"/>
      <c r="G48" s="79"/>
      <c r="H48" s="32"/>
      <c r="I48" s="179" t="s">
        <v>87</v>
      </c>
      <c r="J48" s="175"/>
      <c r="K48" s="175">
        <v>73</v>
      </c>
      <c r="L48" s="176">
        <f t="shared" si="0"/>
        <v>19.571045576407506</v>
      </c>
      <c r="N48" s="249" t="s">
        <v>190</v>
      </c>
      <c r="O48" s="239"/>
      <c r="P48" s="239">
        <v>47.5</v>
      </c>
      <c r="Q48" s="250">
        <f t="shared" si="1"/>
        <v>12.734584450402146</v>
      </c>
    </row>
    <row r="49" spans="1:17" s="12" customFormat="1" ht="11.4" customHeight="1" thickBot="1">
      <c r="A49" s="46"/>
      <c r="E49" s="30"/>
      <c r="F49" s="32"/>
      <c r="G49" s="47"/>
      <c r="H49" s="32"/>
      <c r="I49" s="174" t="s">
        <v>191</v>
      </c>
      <c r="J49" s="175"/>
      <c r="K49" s="175">
        <v>388</v>
      </c>
      <c r="L49" s="176">
        <f t="shared" si="0"/>
        <v>104.02144772117963</v>
      </c>
      <c r="N49" s="253" t="s">
        <v>87</v>
      </c>
      <c r="O49" s="239"/>
      <c r="P49" s="239">
        <v>73</v>
      </c>
      <c r="Q49" s="250">
        <f t="shared" si="1"/>
        <v>19.571045576407506</v>
      </c>
    </row>
    <row r="50" spans="1:17" s="12" customFormat="1" ht="11.4" customHeight="1" thickBot="1">
      <c r="A50" s="80" t="s">
        <v>65</v>
      </c>
      <c r="B50" s="81" t="s">
        <v>66</v>
      </c>
      <c r="C50" s="50"/>
      <c r="D50" s="50"/>
      <c r="E50" s="82">
        <f>SUM(E51:E55)</f>
        <v>6</v>
      </c>
      <c r="F50" s="50"/>
      <c r="G50" s="53">
        <f>SUM(G51:G55)</f>
        <v>570</v>
      </c>
      <c r="H50" s="54"/>
      <c r="I50" s="174" t="s">
        <v>192</v>
      </c>
      <c r="J50" s="175"/>
      <c r="K50" s="175">
        <v>107</v>
      </c>
      <c r="L50" s="176">
        <f t="shared" si="0"/>
        <v>28.68632707774799</v>
      </c>
      <c r="N50" s="255" t="s">
        <v>191</v>
      </c>
      <c r="O50" s="239"/>
      <c r="P50" s="239">
        <v>388</v>
      </c>
      <c r="Q50" s="250">
        <f t="shared" si="1"/>
        <v>104.02144772117963</v>
      </c>
    </row>
    <row r="51" spans="1:17" s="12" customFormat="1" ht="11.4" customHeight="1">
      <c r="A51" s="83"/>
      <c r="B51" s="84" t="s">
        <v>67</v>
      </c>
      <c r="C51" s="85" t="s">
        <v>68</v>
      </c>
      <c r="D51" s="86" t="s">
        <v>69</v>
      </c>
      <c r="E51" s="87">
        <v>1</v>
      </c>
      <c r="F51" s="88">
        <f>+K30</f>
        <v>90</v>
      </c>
      <c r="G51" s="47">
        <f>(E51*F51)</f>
        <v>90</v>
      </c>
      <c r="H51" s="32"/>
      <c r="I51" s="174" t="s">
        <v>193</v>
      </c>
      <c r="J51" s="175"/>
      <c r="K51" s="175">
        <v>39</v>
      </c>
      <c r="L51" s="176">
        <f t="shared" si="0"/>
        <v>10.455764075067025</v>
      </c>
      <c r="N51" s="255" t="s">
        <v>192</v>
      </c>
      <c r="O51" s="239"/>
      <c r="P51" s="239">
        <v>107</v>
      </c>
      <c r="Q51" s="250">
        <f t="shared" si="1"/>
        <v>28.68632707774799</v>
      </c>
    </row>
    <row r="52" spans="1:17" s="12" customFormat="1" ht="11.4" customHeight="1">
      <c r="A52" s="83"/>
      <c r="B52" s="84" t="s">
        <v>70</v>
      </c>
      <c r="C52" s="85" t="s">
        <v>68</v>
      </c>
      <c r="D52" s="86" t="s">
        <v>69</v>
      </c>
      <c r="E52" s="87">
        <v>3</v>
      </c>
      <c r="F52" s="88">
        <f>+K29</f>
        <v>100</v>
      </c>
      <c r="G52" s="47">
        <f>(E52*F52)</f>
        <v>300</v>
      </c>
      <c r="H52" s="32"/>
      <c r="I52" s="174" t="s">
        <v>90</v>
      </c>
      <c r="J52" s="175"/>
      <c r="K52" s="175">
        <v>47</v>
      </c>
      <c r="L52" s="176">
        <f t="shared" si="0"/>
        <v>12.600536193029491</v>
      </c>
      <c r="N52" s="255">
        <f>+G67</f>
        <v>0</v>
      </c>
      <c r="O52" s="239"/>
      <c r="P52" s="239">
        <v>54.67</v>
      </c>
      <c r="Q52" s="250">
        <f t="shared" si="1"/>
        <v>14.656836461126005</v>
      </c>
    </row>
    <row r="53" spans="1:17" s="12" customFormat="1" ht="11.4" customHeight="1">
      <c r="A53" s="83"/>
      <c r="B53" s="84" t="s">
        <v>71</v>
      </c>
      <c r="C53" s="85" t="s">
        <v>68</v>
      </c>
      <c r="D53" s="86" t="s">
        <v>69</v>
      </c>
      <c r="E53" s="87">
        <v>1</v>
      </c>
      <c r="F53" s="88">
        <f>+K32</f>
        <v>90</v>
      </c>
      <c r="G53" s="47">
        <f>(E53*F53)</f>
        <v>90</v>
      </c>
      <c r="H53" s="32"/>
      <c r="I53" s="174" t="s">
        <v>194</v>
      </c>
      <c r="J53" s="175"/>
      <c r="K53" s="175">
        <v>47</v>
      </c>
      <c r="L53" s="176">
        <f t="shared" si="0"/>
        <v>12.600536193029491</v>
      </c>
      <c r="N53" s="255">
        <f>+G68</f>
        <v>187.84</v>
      </c>
      <c r="O53" s="239"/>
      <c r="P53" s="239">
        <v>11.5</v>
      </c>
      <c r="Q53" s="250">
        <f t="shared" si="1"/>
        <v>3.0831099195710454</v>
      </c>
    </row>
    <row r="54" spans="1:17" s="12" customFormat="1" ht="11.4" customHeight="1">
      <c r="A54" s="83"/>
      <c r="B54" s="84" t="s">
        <v>72</v>
      </c>
      <c r="C54" s="85" t="s">
        <v>68</v>
      </c>
      <c r="D54" s="86" t="s">
        <v>69</v>
      </c>
      <c r="E54" s="87">
        <v>1</v>
      </c>
      <c r="F54" s="88">
        <f>+K30</f>
        <v>90</v>
      </c>
      <c r="G54" s="47">
        <f>(E54*F54)</f>
        <v>90</v>
      </c>
      <c r="H54" s="32"/>
      <c r="I54" s="174" t="s">
        <v>195</v>
      </c>
      <c r="J54" s="175"/>
      <c r="K54" s="175">
        <v>129</v>
      </c>
      <c r="L54" s="176">
        <f t="shared" si="0"/>
        <v>34.584450402144775</v>
      </c>
      <c r="N54" s="255" t="s">
        <v>200</v>
      </c>
      <c r="O54" s="239" t="s">
        <v>201</v>
      </c>
      <c r="P54" s="239">
        <v>83</v>
      </c>
      <c r="Q54" s="250">
        <f t="shared" si="1"/>
        <v>22.25201072386059</v>
      </c>
    </row>
    <row r="55" spans="1:17" s="12" customFormat="1" ht="17.25" customHeight="1" thickBot="1">
      <c r="A55" s="89"/>
      <c r="B55" s="90"/>
      <c r="C55" s="90"/>
      <c r="D55" s="91"/>
      <c r="E55" s="92"/>
      <c r="F55" s="90"/>
      <c r="G55" s="79"/>
      <c r="H55" s="32"/>
      <c r="I55" s="174" t="s">
        <v>196</v>
      </c>
      <c r="J55" s="175"/>
      <c r="K55" s="175">
        <v>55</v>
      </c>
      <c r="L55" s="176">
        <f>+K55/$G$19</f>
        <v>14.745308310991957</v>
      </c>
      <c r="N55" s="255" t="s">
        <v>202</v>
      </c>
      <c r="O55" s="239"/>
      <c r="P55" s="239">
        <v>55</v>
      </c>
      <c r="Q55" s="250">
        <f t="shared" si="1"/>
        <v>14.745308310991957</v>
      </c>
    </row>
    <row r="56" spans="1:17" s="12" customFormat="1" ht="11.4" customHeight="1" thickBot="1">
      <c r="A56" s="46"/>
      <c r="D56" s="93"/>
      <c r="E56" s="30"/>
      <c r="G56" s="47"/>
      <c r="I56" s="183" t="s">
        <v>197</v>
      </c>
      <c r="J56" s="184"/>
      <c r="K56" s="184">
        <v>123</v>
      </c>
      <c r="L56" s="185">
        <f>+K56/$G$19</f>
        <v>32.975871313672926</v>
      </c>
      <c r="N56" s="255" t="s">
        <v>203</v>
      </c>
      <c r="O56" s="239"/>
      <c r="P56" s="239">
        <v>102</v>
      </c>
      <c r="Q56" s="250">
        <f t="shared" si="1"/>
        <v>27.345844504021446</v>
      </c>
    </row>
    <row r="57" spans="1:17" s="12" customFormat="1" ht="11.4" customHeight="1" thickBot="1">
      <c r="A57" s="80" t="s">
        <v>73</v>
      </c>
      <c r="B57" s="81" t="s">
        <v>74</v>
      </c>
      <c r="C57" s="49"/>
      <c r="D57" s="94"/>
      <c r="E57" s="82">
        <f>SUM(E58+E61+E68+E73+E78+E81+E83)</f>
        <v>6425</v>
      </c>
      <c r="F57" s="81"/>
      <c r="G57" s="53">
        <f>SUM(G58+G61+G68+G73+G78+G81+G83)</f>
        <v>3343.34</v>
      </c>
      <c r="H57" s="54"/>
      <c r="N57" s="255" t="s">
        <v>204</v>
      </c>
      <c r="O57" s="239"/>
      <c r="P57" s="239"/>
      <c r="Q57" s="250">
        <f t="shared" si="1"/>
        <v>0</v>
      </c>
    </row>
    <row r="58" spans="1:17" s="12" customFormat="1" ht="11.4" customHeight="1">
      <c r="A58" s="95">
        <v>1</v>
      </c>
      <c r="B58" s="29" t="s">
        <v>75</v>
      </c>
      <c r="C58" s="56"/>
      <c r="D58" s="96"/>
      <c r="E58" s="97">
        <f>SUM(E59)</f>
        <v>65</v>
      </c>
      <c r="F58" s="98"/>
      <c r="G58" s="58">
        <f>SUM(G59)</f>
        <v>1300</v>
      </c>
      <c r="H58" s="54"/>
      <c r="N58" s="255" t="s">
        <v>205</v>
      </c>
      <c r="O58" s="239"/>
      <c r="P58" s="239"/>
      <c r="Q58" s="250">
        <f t="shared" si="1"/>
        <v>0</v>
      </c>
    </row>
    <row r="59" spans="1:17" s="12" customFormat="1" ht="11.4" customHeight="1">
      <c r="A59" s="83"/>
      <c r="C59" s="99" t="s">
        <v>76</v>
      </c>
      <c r="D59" s="86"/>
      <c r="E59" s="100">
        <v>65</v>
      </c>
      <c r="F59" s="101">
        <v>20</v>
      </c>
      <c r="G59" s="47">
        <f>SUM(E59*F59)</f>
        <v>1300</v>
      </c>
      <c r="H59" s="32"/>
      <c r="I59" s="29"/>
      <c r="N59" s="255" t="s">
        <v>206</v>
      </c>
      <c r="O59" s="239"/>
      <c r="P59" s="239">
        <v>91</v>
      </c>
      <c r="Q59" s="250">
        <f t="shared" si="1"/>
        <v>24.396782841823057</v>
      </c>
    </row>
    <row r="60" spans="1:17" s="12" customFormat="1" ht="11.4" customHeight="1">
      <c r="A60" s="83"/>
      <c r="C60" s="99"/>
      <c r="D60" s="86"/>
      <c r="E60" s="100"/>
      <c r="F60" s="101"/>
      <c r="G60" s="47"/>
      <c r="H60" s="32"/>
      <c r="I60" s="29"/>
      <c r="N60" s="255" t="s">
        <v>207</v>
      </c>
      <c r="O60" s="239"/>
      <c r="P60" s="239">
        <v>60</v>
      </c>
      <c r="Q60" s="250">
        <f t="shared" si="1"/>
        <v>16.085790884718499</v>
      </c>
    </row>
    <row r="61" spans="1:17" s="12" customFormat="1" ht="11.4" customHeight="1">
      <c r="A61" s="95">
        <v>2</v>
      </c>
      <c r="B61" s="29" t="s">
        <v>77</v>
      </c>
      <c r="C61" s="102"/>
      <c r="D61" s="103"/>
      <c r="E61" s="97">
        <f>SUM(E62:E66)</f>
        <v>353</v>
      </c>
      <c r="F61" s="98"/>
      <c r="G61" s="58">
        <f>SUM(G62:G66)</f>
        <v>1496.5</v>
      </c>
      <c r="H61" s="54"/>
      <c r="J61" s="104"/>
      <c r="K61" s="105"/>
      <c r="L61" s="105"/>
      <c r="M61" s="105"/>
      <c r="N61" s="255"/>
      <c r="O61" s="239"/>
      <c r="P61" s="239"/>
      <c r="Q61" s="250">
        <f t="shared" si="1"/>
        <v>0</v>
      </c>
    </row>
    <row r="62" spans="1:17" s="12" customFormat="1" ht="11.4" customHeight="1">
      <c r="A62" s="83"/>
      <c r="B62" s="106" t="s">
        <v>78</v>
      </c>
      <c r="C62" s="99" t="s">
        <v>76</v>
      </c>
      <c r="D62" s="86" t="s">
        <v>79</v>
      </c>
      <c r="E62" s="87">
        <v>150</v>
      </c>
      <c r="F62" s="88">
        <f>+K38/50</f>
        <v>4</v>
      </c>
      <c r="G62" s="47">
        <f>SUM(E62*F62)</f>
        <v>600</v>
      </c>
      <c r="H62" s="32"/>
      <c r="J62" s="104"/>
      <c r="K62" s="107"/>
      <c r="L62" s="107"/>
      <c r="M62" s="107"/>
      <c r="N62" s="255" t="s">
        <v>193</v>
      </c>
      <c r="O62" s="239"/>
      <c r="P62" s="239">
        <v>39</v>
      </c>
      <c r="Q62" s="250">
        <f t="shared" si="1"/>
        <v>10.455764075067025</v>
      </c>
    </row>
    <row r="63" spans="1:17" s="12" customFormat="1" ht="11.4" customHeight="1">
      <c r="A63" s="83"/>
      <c r="B63" s="12" t="s">
        <v>80</v>
      </c>
      <c r="C63" s="99" t="s">
        <v>76</v>
      </c>
      <c r="D63" s="86" t="s">
        <v>79</v>
      </c>
      <c r="E63" s="87">
        <v>100</v>
      </c>
      <c r="F63" s="88">
        <f>+K36/50</f>
        <v>5.6</v>
      </c>
      <c r="G63" s="47">
        <f>SUM(E63*F63)</f>
        <v>560</v>
      </c>
      <c r="H63" s="32"/>
      <c r="I63" s="29"/>
      <c r="J63" s="104"/>
      <c r="K63" s="107"/>
      <c r="L63" s="107"/>
      <c r="M63" s="107"/>
      <c r="N63" s="255" t="s">
        <v>90</v>
      </c>
      <c r="O63" s="239"/>
      <c r="P63" s="239">
        <v>47</v>
      </c>
      <c r="Q63" s="250">
        <f t="shared" si="1"/>
        <v>12.600536193029491</v>
      </c>
    </row>
    <row r="64" spans="1:17" s="12" customFormat="1" ht="11.4" customHeight="1">
      <c r="A64" s="83"/>
      <c r="C64" s="99"/>
      <c r="D64" s="86"/>
      <c r="E64" s="87"/>
      <c r="F64" s="88"/>
      <c r="G64" s="47">
        <f>SUM(E64*F64)</f>
        <v>0</v>
      </c>
      <c r="H64" s="32"/>
      <c r="J64" s="104"/>
      <c r="K64" s="108"/>
      <c r="L64" s="107"/>
      <c r="M64" s="107"/>
      <c r="N64" s="255" t="s">
        <v>194</v>
      </c>
      <c r="O64" s="239"/>
      <c r="P64" s="239">
        <v>47</v>
      </c>
      <c r="Q64" s="250">
        <f t="shared" si="1"/>
        <v>12.600536193029491</v>
      </c>
    </row>
    <row r="65" spans="1:17" s="12" customFormat="1" ht="11.4" customHeight="1">
      <c r="A65" s="83"/>
      <c r="B65" s="106" t="s">
        <v>81</v>
      </c>
      <c r="C65" s="99" t="s">
        <v>76</v>
      </c>
      <c r="D65" s="86" t="s">
        <v>79</v>
      </c>
      <c r="E65" s="87">
        <v>100</v>
      </c>
      <c r="F65" s="88">
        <f>+K37/50</f>
        <v>2.69</v>
      </c>
      <c r="G65" s="47">
        <f>SUM(E65*F65)</f>
        <v>269</v>
      </c>
      <c r="H65" s="32"/>
      <c r="J65" s="104"/>
      <c r="K65" s="107"/>
      <c r="L65" s="107"/>
      <c r="M65" s="107"/>
      <c r="N65" s="256" t="s">
        <v>208</v>
      </c>
      <c r="O65" s="239"/>
      <c r="P65" s="239">
        <v>50</v>
      </c>
      <c r="Q65" s="250">
        <f t="shared" si="1"/>
        <v>13.404825737265416</v>
      </c>
    </row>
    <row r="66" spans="1:17" s="12" customFormat="1" ht="11.4" customHeight="1">
      <c r="A66" s="83"/>
      <c r="B66" s="12" t="s">
        <v>82</v>
      </c>
      <c r="C66" s="99" t="s">
        <v>76</v>
      </c>
      <c r="D66" s="86" t="s">
        <v>79</v>
      </c>
      <c r="E66" s="87">
        <v>3</v>
      </c>
      <c r="F66" s="88">
        <f>+K40</f>
        <v>22.5</v>
      </c>
      <c r="G66" s="47">
        <f>SUM(E66*F66)</f>
        <v>67.5</v>
      </c>
      <c r="H66" s="32"/>
      <c r="J66" s="104"/>
      <c r="K66" s="107"/>
      <c r="L66" s="107"/>
      <c r="M66" s="107"/>
      <c r="N66" s="255" t="s">
        <v>197</v>
      </c>
      <c r="O66" s="239"/>
      <c r="P66" s="239">
        <v>123</v>
      </c>
      <c r="Q66" s="250">
        <f t="shared" si="1"/>
        <v>32.975871313672926</v>
      </c>
    </row>
    <row r="67" spans="1:17" s="12" customFormat="1" ht="13.8" customHeight="1">
      <c r="A67" s="83"/>
      <c r="C67" s="99"/>
      <c r="D67" s="86"/>
      <c r="E67" s="87"/>
      <c r="F67" s="84"/>
      <c r="G67" s="47"/>
      <c r="J67" s="105"/>
      <c r="K67" s="105"/>
      <c r="L67" s="105"/>
      <c r="M67" s="105"/>
      <c r="N67" s="257" t="s">
        <v>196</v>
      </c>
      <c r="O67" s="258"/>
      <c r="P67" s="258">
        <v>55</v>
      </c>
      <c r="Q67" s="259">
        <f t="shared" si="1"/>
        <v>14.745308310991957</v>
      </c>
    </row>
    <row r="68" spans="1:17" s="12" customFormat="1" ht="11.4" customHeight="1">
      <c r="A68" s="95">
        <v>3</v>
      </c>
      <c r="B68" s="29" t="s">
        <v>83</v>
      </c>
      <c r="C68" s="102"/>
      <c r="D68" s="103"/>
      <c r="E68" s="97">
        <f>SUM(E69:E71)</f>
        <v>3</v>
      </c>
      <c r="F68" s="98"/>
      <c r="G68" s="58">
        <f>SUM(G69:G71)</f>
        <v>187.84</v>
      </c>
      <c r="H68" s="54"/>
    </row>
    <row r="69" spans="1:17" s="12" customFormat="1" ht="11.4" customHeight="1">
      <c r="A69" s="83"/>
      <c r="B69" s="12" t="s">
        <v>84</v>
      </c>
      <c r="C69" s="99" t="s">
        <v>85</v>
      </c>
      <c r="D69" s="86" t="s">
        <v>86</v>
      </c>
      <c r="E69" s="109">
        <v>1</v>
      </c>
      <c r="F69" s="110">
        <f>+K46</f>
        <v>67.84</v>
      </c>
      <c r="G69" s="47">
        <f>SUM(E69*F69)</f>
        <v>67.84</v>
      </c>
      <c r="H69" s="32"/>
    </row>
    <row r="70" spans="1:17" s="12" customFormat="1" ht="11.4" customHeight="1">
      <c r="A70" s="83"/>
      <c r="B70" s="12" t="s">
        <v>87</v>
      </c>
      <c r="C70" s="99" t="s">
        <v>85</v>
      </c>
      <c r="D70" s="86" t="s">
        <v>88</v>
      </c>
      <c r="E70" s="109">
        <v>1</v>
      </c>
      <c r="F70" s="110">
        <f>+K48</f>
        <v>73</v>
      </c>
      <c r="G70" s="47">
        <f>SUM(E70*F70)</f>
        <v>73</v>
      </c>
      <c r="H70" s="32"/>
      <c r="I70" s="29"/>
    </row>
    <row r="71" spans="1:17" s="12" customFormat="1" ht="11.4" customHeight="1">
      <c r="A71" s="83"/>
      <c r="B71" s="12" t="s">
        <v>190</v>
      </c>
      <c r="C71" s="99" t="s">
        <v>85</v>
      </c>
      <c r="D71" s="86" t="s">
        <v>88</v>
      </c>
      <c r="E71" s="109">
        <v>1</v>
      </c>
      <c r="F71" s="110">
        <f>+K47</f>
        <v>47.5</v>
      </c>
      <c r="G71" s="47">
        <v>47</v>
      </c>
      <c r="H71" s="32"/>
    </row>
    <row r="72" spans="1:17" s="12" customFormat="1" ht="11.4" customHeight="1">
      <c r="A72" s="83"/>
      <c r="C72" s="99"/>
      <c r="D72" s="86"/>
      <c r="E72" s="109"/>
      <c r="F72" s="110"/>
      <c r="G72" s="47"/>
      <c r="H72" s="32"/>
    </row>
    <row r="73" spans="1:17" s="12" customFormat="1" ht="11.4" customHeight="1">
      <c r="A73" s="95">
        <v>4</v>
      </c>
      <c r="B73" s="29" t="s">
        <v>89</v>
      </c>
      <c r="C73" s="99"/>
      <c r="D73" s="86"/>
      <c r="E73" s="97">
        <f>SUM(E74:E75)</f>
        <v>3</v>
      </c>
      <c r="F73" s="98"/>
      <c r="G73" s="58">
        <f>SUM(G74:G76)</f>
        <v>206</v>
      </c>
      <c r="H73" s="54"/>
    </row>
    <row r="74" spans="1:17" s="12" customFormat="1" ht="11.4" customHeight="1">
      <c r="A74" s="83"/>
      <c r="B74" s="12" t="s">
        <v>90</v>
      </c>
      <c r="C74" s="99" t="s">
        <v>85</v>
      </c>
      <c r="D74" s="86"/>
      <c r="E74" s="109">
        <v>2</v>
      </c>
      <c r="F74" s="110">
        <f>+K52</f>
        <v>47</v>
      </c>
      <c r="G74" s="47">
        <f>SUM(E74*F74)</f>
        <v>94</v>
      </c>
      <c r="H74" s="32"/>
    </row>
    <row r="75" spans="1:17" s="12" customFormat="1" ht="12" customHeight="1">
      <c r="A75" s="83"/>
      <c r="B75" s="12" t="s">
        <v>91</v>
      </c>
      <c r="C75" s="99" t="s">
        <v>85</v>
      </c>
      <c r="D75" s="86"/>
      <c r="E75" s="109">
        <v>1</v>
      </c>
      <c r="F75" s="110">
        <f>+K50</f>
        <v>107</v>
      </c>
      <c r="G75" s="47">
        <v>36</v>
      </c>
      <c r="H75" s="32"/>
    </row>
    <row r="76" spans="1:17" s="12" customFormat="1" ht="12" customHeight="1">
      <c r="A76" s="83"/>
      <c r="B76" s="12" t="s">
        <v>92</v>
      </c>
      <c r="C76" s="99" t="s">
        <v>85</v>
      </c>
      <c r="D76" s="86"/>
      <c r="E76" s="109">
        <v>1</v>
      </c>
      <c r="F76" s="111">
        <v>93</v>
      </c>
      <c r="G76" s="47">
        <v>76</v>
      </c>
      <c r="H76" s="32"/>
    </row>
    <row r="77" spans="1:17" s="12" customFormat="1" ht="12" customHeight="1">
      <c r="A77" s="83"/>
      <c r="C77" s="99"/>
      <c r="D77" s="86"/>
      <c r="E77" s="109"/>
      <c r="F77" s="111"/>
      <c r="G77" s="47"/>
      <c r="H77" s="32"/>
    </row>
    <row r="78" spans="1:17" s="12" customFormat="1" ht="12" customHeight="1">
      <c r="A78" s="95">
        <v>5</v>
      </c>
      <c r="B78" s="112" t="s">
        <v>93</v>
      </c>
      <c r="C78" s="102"/>
      <c r="D78" s="113"/>
      <c r="E78" s="97">
        <f>SUM(E79:E79)</f>
        <v>1</v>
      </c>
      <c r="F78" s="98"/>
      <c r="G78" s="58">
        <f>SUM(G79:G79)</f>
        <v>15</v>
      </c>
      <c r="H78" s="54"/>
      <c r="I78" s="209" t="s">
        <v>212</v>
      </c>
      <c r="J78" s="210"/>
      <c r="K78" s="210"/>
      <c r="L78" s="211"/>
    </row>
    <row r="79" spans="1:17" s="12" customFormat="1" ht="12" customHeight="1">
      <c r="A79" s="83"/>
      <c r="B79" s="12" t="s">
        <v>94</v>
      </c>
      <c r="C79" s="99" t="s">
        <v>85</v>
      </c>
      <c r="D79" s="114"/>
      <c r="E79" s="115">
        <v>1</v>
      </c>
      <c r="F79" s="110">
        <v>15</v>
      </c>
      <c r="G79" s="47">
        <f>SUM(E79*F79)</f>
        <v>15</v>
      </c>
      <c r="H79" s="32"/>
      <c r="I79" s="212" t="str">
        <f>IF(K98=0,IF(K90=0,K89,L90),L98)</f>
        <v>Diciembre</v>
      </c>
      <c r="J79" s="213">
        <f>+YEAR(G42-30)</f>
        <v>1901</v>
      </c>
      <c r="K79" s="210"/>
      <c r="L79" s="211"/>
    </row>
    <row r="80" spans="1:17" s="12" customFormat="1" ht="12" customHeight="1">
      <c r="A80" s="83"/>
      <c r="C80" s="99"/>
      <c r="D80" s="114"/>
      <c r="E80" s="115"/>
      <c r="F80" s="110"/>
      <c r="G80" s="47"/>
      <c r="H80" s="32"/>
      <c r="I80" s="214" t="s">
        <v>213</v>
      </c>
      <c r="J80" s="215" t="s">
        <v>214</v>
      </c>
      <c r="K80" s="215"/>
      <c r="L80" s="211"/>
    </row>
    <row r="81" spans="1:12" s="12" customFormat="1" ht="12" customHeight="1">
      <c r="A81" s="95">
        <v>6</v>
      </c>
      <c r="B81" s="29" t="s">
        <v>95</v>
      </c>
      <c r="C81" s="64"/>
      <c r="D81" s="98"/>
      <c r="E81" s="97">
        <f>SUM(E82)</f>
        <v>6000</v>
      </c>
      <c r="F81" s="98"/>
      <c r="G81" s="58">
        <f>SUM(G82)</f>
        <v>138</v>
      </c>
      <c r="H81" s="54"/>
      <c r="I81" s="216">
        <f>+K90</f>
        <v>2.9350000000000001</v>
      </c>
      <c r="J81" s="217">
        <f>+I81/G19</f>
        <v>0.78686327077747986</v>
      </c>
      <c r="K81" s="217"/>
      <c r="L81" s="211"/>
    </row>
    <row r="82" spans="1:12" s="12" customFormat="1" ht="12" customHeight="1">
      <c r="A82" s="83"/>
      <c r="B82" s="12" t="s">
        <v>96</v>
      </c>
      <c r="C82" s="116" t="s">
        <v>97</v>
      </c>
      <c r="D82" s="117"/>
      <c r="E82" s="100">
        <v>6000</v>
      </c>
      <c r="F82" s="84">
        <v>2.3E-2</v>
      </c>
      <c r="G82" s="47">
        <f>(E82*F82)</f>
        <v>138</v>
      </c>
      <c r="H82" s="32"/>
      <c r="I82" s="218"/>
      <c r="J82" s="211"/>
      <c r="K82" s="211"/>
      <c r="L82" s="211"/>
    </row>
    <row r="83" spans="1:12" s="12" customFormat="1" ht="12" customHeight="1">
      <c r="A83" s="95">
        <v>7</v>
      </c>
      <c r="B83" s="29" t="s">
        <v>98</v>
      </c>
      <c r="C83" s="64"/>
      <c r="D83" s="98"/>
      <c r="E83" s="97">
        <f>SUM(E84:E84)</f>
        <v>0</v>
      </c>
      <c r="F83" s="98"/>
      <c r="G83" s="58">
        <f>SUM(G84:G84)</f>
        <v>0</v>
      </c>
      <c r="H83" s="54"/>
      <c r="I83" s="219"/>
      <c r="J83" s="211"/>
      <c r="K83" s="211"/>
      <c r="L83" s="211"/>
    </row>
    <row r="84" spans="1:12" s="12" customFormat="1" ht="12" customHeight="1" thickBot="1">
      <c r="A84" s="89"/>
      <c r="B84" s="75" t="s">
        <v>99</v>
      </c>
      <c r="C84" s="76"/>
      <c r="D84" s="90"/>
      <c r="E84" s="92"/>
      <c r="F84" s="90"/>
      <c r="G84" s="79"/>
      <c r="I84" s="209" t="s">
        <v>212</v>
      </c>
      <c r="J84" s="210"/>
      <c r="K84" s="220"/>
      <c r="L84" s="221"/>
    </row>
    <row r="85" spans="1:12" s="12" customFormat="1" ht="12" customHeight="1" thickBot="1">
      <c r="A85" s="46"/>
      <c r="E85" s="30"/>
      <c r="G85" s="47"/>
      <c r="I85" s="214" t="s">
        <v>215</v>
      </c>
      <c r="J85" s="214" t="s">
        <v>213</v>
      </c>
      <c r="K85" s="220"/>
      <c r="L85" s="221"/>
    </row>
    <row r="86" spans="1:12" s="12" customFormat="1" ht="12" customHeight="1" thickBot="1">
      <c r="A86" s="80" t="s">
        <v>100</v>
      </c>
      <c r="B86" s="81" t="s">
        <v>101</v>
      </c>
      <c r="C86" s="81"/>
      <c r="D86" s="81"/>
      <c r="E86" s="82"/>
      <c r="F86" s="81"/>
      <c r="G86" s="53">
        <f>SUM(G87:G92)</f>
        <v>2690</v>
      </c>
      <c r="H86" s="54"/>
      <c r="I86" s="214" t="s">
        <v>216</v>
      </c>
      <c r="J86" s="215">
        <v>2.1579999999999999</v>
      </c>
      <c r="K86" s="222"/>
      <c r="L86" s="218"/>
    </row>
    <row r="87" spans="1:12" s="12" customFormat="1" ht="12" customHeight="1">
      <c r="A87" s="83"/>
      <c r="B87" s="51" t="s">
        <v>102</v>
      </c>
      <c r="C87" s="118" t="s">
        <v>103</v>
      </c>
      <c r="D87" s="118"/>
      <c r="E87" s="119">
        <v>10000</v>
      </c>
      <c r="F87" s="51">
        <v>0.22500000000000001</v>
      </c>
      <c r="G87" s="120">
        <f t="shared" ref="G87:G92" si="6">+F87*E87</f>
        <v>2250</v>
      </c>
      <c r="H87" s="32"/>
      <c r="I87" s="235" t="s">
        <v>217</v>
      </c>
      <c r="J87" s="236">
        <v>1.5</v>
      </c>
      <c r="K87" s="222"/>
      <c r="L87" s="218"/>
    </row>
    <row r="88" spans="1:12" s="12" customFormat="1" ht="12" customHeight="1">
      <c r="A88" s="83"/>
      <c r="B88" s="84" t="s">
        <v>104</v>
      </c>
      <c r="C88" s="114" t="s">
        <v>105</v>
      </c>
      <c r="D88" s="114"/>
      <c r="E88" s="87">
        <v>1</v>
      </c>
      <c r="F88" s="110">
        <v>25</v>
      </c>
      <c r="G88" s="47">
        <f t="shared" si="6"/>
        <v>25</v>
      </c>
      <c r="H88" s="32"/>
      <c r="I88" s="235" t="s">
        <v>218</v>
      </c>
      <c r="J88" s="236">
        <v>1.7</v>
      </c>
      <c r="K88" s="222"/>
      <c r="L88" s="218"/>
    </row>
    <row r="89" spans="1:12" s="12" customFormat="1" ht="12" customHeight="1">
      <c r="A89" s="83"/>
      <c r="B89" s="84" t="s">
        <v>106</v>
      </c>
      <c r="C89" s="114" t="s">
        <v>107</v>
      </c>
      <c r="D89" s="114"/>
      <c r="E89" s="87">
        <v>2</v>
      </c>
      <c r="F89" s="110">
        <v>20</v>
      </c>
      <c r="G89" s="47">
        <f t="shared" si="6"/>
        <v>40</v>
      </c>
      <c r="H89" s="32"/>
      <c r="I89" s="235" t="s">
        <v>219</v>
      </c>
      <c r="J89" s="236">
        <v>2.9350000000000001</v>
      </c>
      <c r="K89" s="222"/>
      <c r="L89" s="218"/>
    </row>
    <row r="90" spans="1:12" s="12" customFormat="1" ht="12" customHeight="1">
      <c r="A90" s="83"/>
      <c r="B90" s="84" t="s">
        <v>108</v>
      </c>
      <c r="C90" s="114" t="s">
        <v>109</v>
      </c>
      <c r="D90" s="114"/>
      <c r="E90" s="87">
        <v>0.5</v>
      </c>
      <c r="F90" s="110">
        <v>100</v>
      </c>
      <c r="G90" s="47">
        <f t="shared" si="6"/>
        <v>50</v>
      </c>
      <c r="H90" s="32"/>
      <c r="I90" s="235" t="s">
        <v>220</v>
      </c>
      <c r="J90" s="236"/>
      <c r="K90" s="222">
        <f>IF(J90=0,IF(J89=0,IF(J88=0,IF(J87=0,J86,J87),J88),J89),J90)</f>
        <v>2.9350000000000001</v>
      </c>
      <c r="L90" s="222" t="str">
        <f>IF(J90=0,IF(J89=0,IF(J88=0,IF(J87=0,I86,I87),I88),I89),I90)</f>
        <v>Marzo</v>
      </c>
    </row>
    <row r="91" spans="1:12" s="12" customFormat="1" ht="12" customHeight="1">
      <c r="A91" s="83"/>
      <c r="B91" s="84" t="s">
        <v>110</v>
      </c>
      <c r="C91" s="114" t="s">
        <v>111</v>
      </c>
      <c r="D91" s="114"/>
      <c r="E91" s="87">
        <f>+H14</f>
        <v>0</v>
      </c>
      <c r="F91" s="84">
        <v>0</v>
      </c>
      <c r="G91" s="47">
        <f t="shared" si="6"/>
        <v>0</v>
      </c>
      <c r="H91" s="32"/>
      <c r="I91" s="235" t="s">
        <v>221</v>
      </c>
      <c r="J91" s="236">
        <v>2.42</v>
      </c>
      <c r="K91" s="222"/>
      <c r="L91" s="218"/>
    </row>
    <row r="92" spans="1:12" s="12" customFormat="1" ht="12" customHeight="1" thickBot="1">
      <c r="A92" s="89"/>
      <c r="B92" s="121" t="s">
        <v>112</v>
      </c>
      <c r="C92" s="122" t="s">
        <v>107</v>
      </c>
      <c r="D92" s="122"/>
      <c r="E92" s="123">
        <f>+E26</f>
        <v>65</v>
      </c>
      <c r="F92" s="124">
        <f>+'[1]BASE DE DATOS'!$G$20</f>
        <v>5</v>
      </c>
      <c r="G92" s="79">
        <f t="shared" si="6"/>
        <v>325</v>
      </c>
      <c r="H92" s="32"/>
      <c r="I92" s="235" t="s">
        <v>222</v>
      </c>
      <c r="J92" s="236">
        <v>2.673</v>
      </c>
      <c r="K92" s="222"/>
      <c r="L92" s="218"/>
    </row>
    <row r="93" spans="1:12" s="12" customFormat="1" ht="12" customHeight="1" thickBot="1">
      <c r="A93" s="46"/>
      <c r="E93" s="30"/>
      <c r="G93" s="47"/>
      <c r="I93" s="235" t="s">
        <v>223</v>
      </c>
      <c r="J93" s="236">
        <v>2.375</v>
      </c>
      <c r="K93" s="222"/>
      <c r="L93" s="218"/>
    </row>
    <row r="94" spans="1:12" s="12" customFormat="1" ht="12" customHeight="1">
      <c r="A94" s="125"/>
      <c r="B94" s="126"/>
      <c r="C94" s="127"/>
      <c r="D94" s="128"/>
      <c r="E94" s="129"/>
      <c r="F94" s="128"/>
      <c r="G94" s="120"/>
      <c r="I94" s="235" t="s">
        <v>224</v>
      </c>
      <c r="J94" s="236">
        <v>2.2999999999999998</v>
      </c>
      <c r="K94" s="222"/>
      <c r="L94" s="218"/>
    </row>
    <row r="95" spans="1:12" s="12" customFormat="1" ht="12" customHeight="1" thickBot="1">
      <c r="A95" s="130" t="s">
        <v>113</v>
      </c>
      <c r="B95" s="131" t="s">
        <v>114</v>
      </c>
      <c r="C95" s="132"/>
      <c r="D95" s="133"/>
      <c r="E95" s="134"/>
      <c r="F95" s="133"/>
      <c r="G95" s="135">
        <f>SUM(G96:G101)</f>
        <v>462.3836</v>
      </c>
      <c r="H95" s="54"/>
      <c r="I95" s="235" t="s">
        <v>225</v>
      </c>
      <c r="J95" s="236">
        <v>1.81</v>
      </c>
      <c r="K95" s="222"/>
      <c r="L95" s="218"/>
    </row>
    <row r="96" spans="1:12" s="12" customFormat="1" ht="12" customHeight="1">
      <c r="A96" s="136" t="s">
        <v>115</v>
      </c>
      <c r="B96" s="137" t="s">
        <v>116</v>
      </c>
      <c r="C96" s="138" t="s">
        <v>117</v>
      </c>
      <c r="D96" s="138"/>
      <c r="E96" s="139">
        <v>1</v>
      </c>
      <c r="F96" s="140">
        <f>+G24</f>
        <v>9853.34</v>
      </c>
      <c r="G96" s="144">
        <f>+F96*E96/100</f>
        <v>98.5334</v>
      </c>
      <c r="H96" s="32"/>
      <c r="I96" s="235" t="s">
        <v>226</v>
      </c>
      <c r="J96" s="236">
        <v>2.0569999999999999</v>
      </c>
      <c r="K96" s="222"/>
      <c r="L96" s="218"/>
    </row>
    <row r="97" spans="1:12" s="12" customFormat="1" ht="12" customHeight="1">
      <c r="A97" s="83" t="s">
        <v>118</v>
      </c>
      <c r="B97" s="137" t="s">
        <v>119</v>
      </c>
      <c r="C97" s="141" t="s">
        <v>117</v>
      </c>
      <c r="D97" s="141"/>
      <c r="E97" s="142">
        <v>2</v>
      </c>
      <c r="F97" s="143">
        <f>+F96</f>
        <v>9853.34</v>
      </c>
      <c r="G97" s="144">
        <f>+F97*E97/100</f>
        <v>197.0668</v>
      </c>
      <c r="H97" s="32"/>
      <c r="I97" s="235" t="s">
        <v>227</v>
      </c>
      <c r="J97" s="236">
        <v>2</v>
      </c>
      <c r="K97" s="222"/>
      <c r="L97" s="218"/>
    </row>
    <row r="98" spans="1:12" s="12" customFormat="1" ht="12" customHeight="1">
      <c r="A98" s="83" t="s">
        <v>120</v>
      </c>
      <c r="B98" s="137" t="s">
        <v>121</v>
      </c>
      <c r="C98" s="141" t="s">
        <v>117</v>
      </c>
      <c r="D98" s="141"/>
      <c r="E98" s="142">
        <v>1</v>
      </c>
      <c r="F98" s="143">
        <f>+F97</f>
        <v>9853.34</v>
      </c>
      <c r="G98" s="144">
        <f>+F98*E98/100</f>
        <v>98.5334</v>
      </c>
      <c r="H98" s="32"/>
      <c r="I98" s="235" t="s">
        <v>228</v>
      </c>
      <c r="J98" s="236">
        <v>2.2000000000000002</v>
      </c>
      <c r="K98" s="223">
        <f>IF(J98=0,IF(J97=0,IF(J96=0,IF(J95=0,IF(J94=0,IF(J93=0,IF(J92=0,IF(J91=0,J90,J91),J92),J93),J94),J95),J96),J97),J98)</f>
        <v>2.2000000000000002</v>
      </c>
      <c r="L98" s="222" t="str">
        <f>IF(J98=0,IF(J97=0,IF(J96=0,IF(J95=0,IF(J94=0,IF(J93=0,IF(J92=0,IF(J91=0,J90,I91),I92),I93),I94),I95),I96),I97),I98)</f>
        <v>Diciembre</v>
      </c>
    </row>
    <row r="99" spans="1:12" s="12" customFormat="1" ht="12" customHeight="1">
      <c r="A99" s="145" t="s">
        <v>122</v>
      </c>
      <c r="B99" s="137" t="s">
        <v>123</v>
      </c>
      <c r="C99" s="141" t="s">
        <v>117</v>
      </c>
      <c r="D99" s="141"/>
      <c r="E99" s="142">
        <v>0</v>
      </c>
      <c r="F99" s="143">
        <f>+G26</f>
        <v>3250</v>
      </c>
      <c r="G99" s="144">
        <f>+F99*E99/100</f>
        <v>0</v>
      </c>
      <c r="H99" s="32"/>
      <c r="I99" s="214"/>
      <c r="J99" s="217"/>
      <c r="K99" s="222"/>
      <c r="L99" s="218"/>
    </row>
    <row r="100" spans="1:12" s="12" customFormat="1" ht="12" customHeight="1">
      <c r="A100" s="83" t="s">
        <v>124</v>
      </c>
      <c r="B100" s="137" t="s">
        <v>125</v>
      </c>
      <c r="C100" s="141" t="s">
        <v>117</v>
      </c>
      <c r="D100" s="141"/>
      <c r="E100" s="146">
        <f>+$H$11/12*$H$10</f>
        <v>0</v>
      </c>
      <c r="F100" s="143">
        <f>+F98</f>
        <v>9853.34</v>
      </c>
      <c r="G100" s="144">
        <f>0.03*G92+18%*G92</f>
        <v>68.25</v>
      </c>
      <c r="H100" s="32"/>
    </row>
    <row r="101" spans="1:12" s="12" customFormat="1" ht="12" customHeight="1" thickBot="1">
      <c r="A101" s="89"/>
      <c r="B101" s="90"/>
      <c r="C101" s="90"/>
      <c r="D101" s="90"/>
      <c r="E101" s="147"/>
      <c r="F101" s="148"/>
      <c r="G101" s="149"/>
    </row>
    <row r="102" spans="1:12" s="12" customFormat="1" ht="12" customHeight="1" thickBot="1">
      <c r="A102" s="73"/>
      <c r="B102" s="75"/>
      <c r="C102" s="75"/>
      <c r="D102" s="75"/>
      <c r="E102" s="77"/>
      <c r="F102" s="75"/>
      <c r="G102" s="79"/>
    </row>
    <row r="103" spans="1:12" s="12" customFormat="1" ht="12" customHeight="1">
      <c r="A103" s="55"/>
      <c r="B103" s="150"/>
      <c r="C103" s="150"/>
      <c r="D103" s="150"/>
      <c r="E103" s="151"/>
      <c r="F103" s="150"/>
      <c r="G103" s="152"/>
      <c r="H103" s="29"/>
    </row>
    <row r="104" spans="1:12" s="12" customFormat="1" ht="12" customHeight="1" thickBot="1">
      <c r="A104" s="153" t="s">
        <v>126</v>
      </c>
      <c r="B104" s="133"/>
      <c r="C104" s="133"/>
      <c r="D104" s="133"/>
      <c r="E104" s="134"/>
      <c r="F104" s="133"/>
      <c r="G104" s="154">
        <f>G24+G95</f>
        <v>10315.723599999999</v>
      </c>
      <c r="H104" s="54"/>
    </row>
    <row r="105" spans="1:12" s="12" customFormat="1" ht="12" customHeight="1">
      <c r="E105" s="30"/>
      <c r="G105" s="32"/>
    </row>
    <row r="106" spans="1:12" s="12" customFormat="1" ht="12" customHeight="1">
      <c r="E106" s="30"/>
      <c r="G106" s="32"/>
    </row>
    <row r="107" spans="1:12" s="12" customFormat="1" ht="12" customHeight="1">
      <c r="B107" s="207" t="s">
        <v>127</v>
      </c>
      <c r="C107" s="207"/>
      <c r="D107" s="207"/>
      <c r="E107" s="207"/>
      <c r="F107" s="207"/>
      <c r="G107" s="207"/>
      <c r="H107" s="207"/>
    </row>
    <row r="108" spans="1:12" s="12" customFormat="1" ht="12" customHeight="1">
      <c r="B108" s="207" t="s">
        <v>128</v>
      </c>
      <c r="C108" s="207"/>
      <c r="D108" s="207"/>
      <c r="E108" s="207"/>
      <c r="F108" s="207"/>
      <c r="G108" s="207"/>
      <c r="H108" s="207"/>
    </row>
    <row r="109" spans="1:12" s="12" customFormat="1" ht="12" customHeight="1">
      <c r="E109" s="30"/>
      <c r="G109" s="32"/>
    </row>
    <row r="110" spans="1:12" s="12" customFormat="1" ht="12" customHeight="1">
      <c r="B110" s="207" t="s">
        <v>129</v>
      </c>
      <c r="C110" s="207"/>
      <c r="D110" s="207"/>
      <c r="E110" s="207"/>
      <c r="G110" s="32"/>
    </row>
    <row r="111" spans="1:12" s="12" customFormat="1" ht="12" customHeight="1">
      <c r="E111" s="155" t="s">
        <v>130</v>
      </c>
      <c r="F111" s="106"/>
      <c r="G111" s="156"/>
      <c r="H111" s="157"/>
    </row>
    <row r="112" spans="1:12" s="12" customFormat="1" ht="12" customHeight="1">
      <c r="B112" s="29" t="s">
        <v>131</v>
      </c>
      <c r="E112" s="30"/>
      <c r="G112" s="32"/>
    </row>
    <row r="113" spans="2:8" s="12" customFormat="1" ht="12" customHeight="1">
      <c r="B113" s="12" t="s">
        <v>132</v>
      </c>
      <c r="E113" s="158">
        <f>+G16</f>
        <v>20000</v>
      </c>
      <c r="G113" s="32"/>
      <c r="H113" s="159"/>
    </row>
    <row r="114" spans="2:8" s="12" customFormat="1" ht="12" customHeight="1">
      <c r="B114" s="12" t="s">
        <v>133</v>
      </c>
      <c r="E114" s="158">
        <f>+J81</f>
        <v>0.78686327077747986</v>
      </c>
      <c r="G114" s="32"/>
      <c r="H114" s="159"/>
    </row>
    <row r="115" spans="2:8" s="12" customFormat="1" ht="12" customHeight="1">
      <c r="B115" s="29" t="s">
        <v>134</v>
      </c>
      <c r="C115" s="27" t="s">
        <v>135</v>
      </c>
      <c r="D115" s="27"/>
      <c r="E115" s="158">
        <f>(E113*E114)</f>
        <v>15737.265415549597</v>
      </c>
      <c r="G115" s="32"/>
      <c r="H115" s="159"/>
    </row>
    <row r="116" spans="2:8" s="12" customFormat="1" ht="12" customHeight="1">
      <c r="C116" s="27"/>
      <c r="D116" s="27"/>
      <c r="E116" s="158"/>
      <c r="G116" s="32"/>
      <c r="H116" s="159"/>
    </row>
    <row r="117" spans="2:8" s="12" customFormat="1" ht="12" customHeight="1">
      <c r="B117" s="29" t="s">
        <v>136</v>
      </c>
      <c r="C117" s="27"/>
      <c r="D117" s="27"/>
      <c r="E117" s="158"/>
      <c r="G117" s="32"/>
      <c r="H117" s="159"/>
    </row>
    <row r="118" spans="2:8" s="12" customFormat="1" ht="12" customHeight="1">
      <c r="B118" s="12" t="s">
        <v>137</v>
      </c>
      <c r="C118" s="27" t="s">
        <v>138</v>
      </c>
      <c r="D118" s="27"/>
      <c r="E118" s="158">
        <f>G24</f>
        <v>9853.34</v>
      </c>
      <c r="G118" s="32"/>
      <c r="H118" s="159"/>
    </row>
    <row r="119" spans="2:8" s="12" customFormat="1" ht="12" customHeight="1">
      <c r="B119" s="12" t="s">
        <v>139</v>
      </c>
      <c r="C119" s="27" t="s">
        <v>140</v>
      </c>
      <c r="D119" s="27"/>
      <c r="E119" s="158">
        <f>G95</f>
        <v>462.3836</v>
      </c>
      <c r="G119" s="32"/>
      <c r="H119" s="159"/>
    </row>
    <row r="120" spans="2:8" s="12" customFormat="1" ht="12" customHeight="1">
      <c r="B120" s="29" t="s">
        <v>141</v>
      </c>
      <c r="C120" s="27" t="s">
        <v>142</v>
      </c>
      <c r="D120" s="27"/>
      <c r="E120" s="158">
        <f>SUM(E118:E119)</f>
        <v>10315.723599999999</v>
      </c>
      <c r="G120" s="32"/>
      <c r="H120" s="159"/>
    </row>
    <row r="121" spans="2:8" s="12" customFormat="1" ht="12" customHeight="1">
      <c r="B121" s="29" t="s">
        <v>143</v>
      </c>
      <c r="C121" s="27" t="s">
        <v>144</v>
      </c>
      <c r="D121" s="27"/>
      <c r="E121" s="158">
        <f>E115</f>
        <v>15737.265415549597</v>
      </c>
      <c r="G121" s="32"/>
      <c r="H121" s="159"/>
    </row>
    <row r="122" spans="2:8" s="12" customFormat="1" ht="12" customHeight="1">
      <c r="B122" s="29" t="s">
        <v>145</v>
      </c>
      <c r="C122" s="160" t="s">
        <v>146</v>
      </c>
      <c r="D122" s="160"/>
      <c r="E122" s="158">
        <f>E121-E118</f>
        <v>5883.9254155495964</v>
      </c>
      <c r="G122" s="32"/>
      <c r="H122" s="159"/>
    </row>
    <row r="123" spans="2:8" s="12" customFormat="1" ht="12" customHeight="1">
      <c r="B123" s="12" t="s">
        <v>147</v>
      </c>
      <c r="C123" s="27"/>
      <c r="D123" s="27"/>
      <c r="E123" s="158">
        <f>E114</f>
        <v>0.78686327077747986</v>
      </c>
      <c r="G123" s="32"/>
      <c r="H123" s="159"/>
    </row>
    <row r="124" spans="2:8" s="12" customFormat="1" ht="12" customHeight="1">
      <c r="B124" s="12" t="s">
        <v>148</v>
      </c>
      <c r="C124" s="27"/>
      <c r="D124" s="27"/>
      <c r="E124" s="158">
        <f>E120/E113</f>
        <v>0.51578617999999998</v>
      </c>
      <c r="G124" s="32"/>
      <c r="H124" s="159"/>
    </row>
    <row r="125" spans="2:8" s="12" customFormat="1" ht="12" customHeight="1">
      <c r="B125" s="12" t="s">
        <v>149</v>
      </c>
      <c r="C125" s="27"/>
      <c r="D125" s="27"/>
      <c r="E125" s="158">
        <f>E123-E124</f>
        <v>0.27107709077747988</v>
      </c>
      <c r="G125" s="32"/>
      <c r="H125" s="159"/>
    </row>
    <row r="126" spans="2:8" s="12" customFormat="1" ht="12" customHeight="1">
      <c r="B126" s="29" t="s">
        <v>150</v>
      </c>
      <c r="C126" s="160" t="s">
        <v>151</v>
      </c>
      <c r="D126" s="160"/>
      <c r="E126" s="158">
        <f>E121-E120</f>
        <v>5421.5418155495972</v>
      </c>
      <c r="G126" s="32"/>
      <c r="H126" s="159"/>
    </row>
    <row r="127" spans="2:8" s="12" customFormat="1" ht="12" customHeight="1">
      <c r="B127" s="29" t="s">
        <v>152</v>
      </c>
      <c r="C127" s="12" t="s">
        <v>153</v>
      </c>
      <c r="E127" s="158"/>
      <c r="F127" s="161">
        <f>+E126*100/E120</f>
        <v>52.55609810590115</v>
      </c>
      <c r="G127" s="54" t="s">
        <v>117</v>
      </c>
    </row>
    <row r="128" spans="2:8" s="12" customFormat="1" ht="12" customHeight="1">
      <c r="B128" s="29"/>
      <c r="E128" s="158"/>
      <c r="F128" s="161"/>
      <c r="G128" s="54"/>
    </row>
    <row r="129" spans="2:8" s="12" customFormat="1" ht="12" customHeight="1">
      <c r="B129" s="29"/>
      <c r="E129" s="158"/>
      <c r="F129" s="161"/>
      <c r="G129" s="54"/>
    </row>
    <row r="130" spans="2:8" s="12" customFormat="1" ht="12" customHeight="1">
      <c r="B130" s="162" t="s">
        <v>154</v>
      </c>
      <c r="C130" s="163"/>
      <c r="D130" s="191" t="s">
        <v>155</v>
      </c>
      <c r="E130" s="191"/>
      <c r="F130" s="161"/>
      <c r="G130" s="54"/>
    </row>
    <row r="131" spans="2:8" s="12" customFormat="1" ht="12" customHeight="1">
      <c r="B131" s="162" t="s">
        <v>156</v>
      </c>
      <c r="C131" s="163"/>
      <c r="D131" s="191" t="s">
        <v>157</v>
      </c>
      <c r="E131" s="191"/>
      <c r="F131" s="161"/>
      <c r="G131" s="54"/>
    </row>
    <row r="132" spans="2:8" s="12" customFormat="1" ht="12" customHeight="1">
      <c r="B132" s="162"/>
      <c r="C132" s="163"/>
      <c r="D132" s="191" t="s">
        <v>158</v>
      </c>
      <c r="E132" s="191"/>
      <c r="F132" s="161"/>
      <c r="G132" s="54"/>
    </row>
    <row r="133" spans="2:8" s="12" customFormat="1" ht="12" customHeight="1">
      <c r="B133" s="162">
        <v>3.73</v>
      </c>
      <c r="C133" s="163"/>
      <c r="D133" s="191">
        <f>E120/B133</f>
        <v>2765.6095442359247</v>
      </c>
      <c r="E133" s="191"/>
      <c r="G133" s="32"/>
    </row>
    <row r="134" spans="2:8" s="12" customFormat="1" ht="12" customHeight="1" thickBot="1">
      <c r="E134" s="158"/>
      <c r="G134" s="32"/>
    </row>
    <row r="135" spans="2:8" s="12" customFormat="1" ht="12" customHeight="1">
      <c r="E135" s="30"/>
      <c r="G135" s="152"/>
      <c r="H135" s="54"/>
    </row>
    <row r="136" spans="2:8" s="12" customFormat="1" ht="12" customHeight="1">
      <c r="B136" s="207" t="s">
        <v>159</v>
      </c>
      <c r="C136" s="207"/>
      <c r="D136" s="207"/>
      <c r="E136" s="207"/>
      <c r="F136" s="29"/>
      <c r="G136" s="164">
        <f>+E124*1.3</f>
        <v>0.67052203399999999</v>
      </c>
      <c r="H136" s="158"/>
    </row>
    <row r="137" spans="2:8" s="12" customFormat="1" ht="12" customHeight="1" thickBot="1">
      <c r="B137" s="29"/>
      <c r="E137" s="30"/>
      <c r="G137" s="89"/>
    </row>
    <row r="138" spans="2:8" s="12" customFormat="1" ht="12" customHeight="1">
      <c r="E138" s="30"/>
      <c r="G138" s="32"/>
    </row>
    <row r="139" spans="2:8" s="12" customFormat="1" ht="12" customHeight="1">
      <c r="E139" s="30"/>
      <c r="G139" s="27"/>
    </row>
    <row r="140" spans="2:8" s="12" customFormat="1" ht="12" customHeight="1">
      <c r="C140" s="208"/>
      <c r="D140" s="208"/>
      <c r="E140" s="208"/>
      <c r="F140" s="208"/>
      <c r="G140" s="27"/>
    </row>
    <row r="141" spans="2:8" s="12" customFormat="1" ht="26.4" customHeight="1">
      <c r="B141" s="224" t="s">
        <v>229</v>
      </c>
      <c r="C141" s="224"/>
      <c r="D141" s="224"/>
      <c r="E141" s="224"/>
      <c r="F141" s="224"/>
      <c r="G141" s="224"/>
    </row>
    <row r="142" spans="2:8" ht="12" customHeight="1">
      <c r="B142" s="218"/>
      <c r="C142" s="218"/>
      <c r="D142" s="218"/>
      <c r="E142" s="218"/>
      <c r="F142" s="218"/>
      <c r="G142" s="218"/>
    </row>
    <row r="143" spans="2:8" ht="12" customHeight="1">
      <c r="B143" s="218"/>
      <c r="C143" s="218"/>
      <c r="D143" s="218"/>
      <c r="E143" s="218"/>
      <c r="F143" s="218"/>
      <c r="G143" s="218"/>
    </row>
    <row r="144" spans="2:8" ht="12" customHeight="1">
      <c r="B144" s="225" t="s">
        <v>230</v>
      </c>
      <c r="C144" s="218"/>
      <c r="D144" s="218"/>
      <c r="E144" s="226">
        <f>SUM(D146:D148)</f>
        <v>363.85019999999997</v>
      </c>
      <c r="F144" s="218"/>
      <c r="G144" s="218"/>
    </row>
    <row r="145" spans="2:7" ht="12" customHeight="1">
      <c r="B145" s="218"/>
      <c r="C145" s="218"/>
      <c r="D145" s="218"/>
      <c r="E145" s="226"/>
      <c r="F145" s="218"/>
      <c r="G145" s="218"/>
    </row>
    <row r="146" spans="2:7" ht="12" customHeight="1">
      <c r="B146" s="218" t="s">
        <v>231</v>
      </c>
      <c r="C146" s="218"/>
      <c r="D146" s="211">
        <f>+G97</f>
        <v>197.0668</v>
      </c>
      <c r="E146" s="226"/>
      <c r="F146" s="218"/>
      <c r="G146" s="218"/>
    </row>
    <row r="147" spans="2:7" ht="12" customHeight="1">
      <c r="B147" s="218" t="s">
        <v>232</v>
      </c>
      <c r="C147" s="218"/>
      <c r="D147" s="211">
        <f>+G98</f>
        <v>98.5334</v>
      </c>
      <c r="E147" s="226"/>
      <c r="F147" s="218"/>
      <c r="G147" s="218"/>
    </row>
    <row r="148" spans="2:7" ht="12" customHeight="1">
      <c r="B148" s="218" t="s">
        <v>233</v>
      </c>
      <c r="C148" s="218"/>
      <c r="D148" s="211">
        <f>+G100</f>
        <v>68.25</v>
      </c>
      <c r="E148" s="226"/>
      <c r="F148" s="218"/>
      <c r="G148" s="218"/>
    </row>
    <row r="149" spans="2:7" ht="12" customHeight="1">
      <c r="B149" s="218"/>
      <c r="C149" s="218"/>
      <c r="D149" s="218"/>
      <c r="E149" s="226"/>
      <c r="F149" s="218"/>
      <c r="G149" s="218"/>
    </row>
    <row r="150" spans="2:7" ht="12" customHeight="1">
      <c r="B150" s="218"/>
      <c r="C150" s="218"/>
      <c r="D150" s="218"/>
      <c r="E150" s="226"/>
      <c r="F150" s="218"/>
      <c r="G150" s="218"/>
    </row>
    <row r="151" spans="2:7" ht="12" customHeight="1">
      <c r="B151" s="225" t="s">
        <v>234</v>
      </c>
      <c r="C151" s="218"/>
      <c r="D151" s="218"/>
      <c r="E151" s="226">
        <f>SUM(D153:D156)</f>
        <v>9951.8734000000004</v>
      </c>
      <c r="F151" s="218"/>
      <c r="G151" s="218"/>
    </row>
    <row r="152" spans="2:7" ht="12" customHeight="1">
      <c r="B152" s="218"/>
      <c r="C152" s="218"/>
      <c r="D152" s="218"/>
      <c r="E152" s="226"/>
      <c r="F152" s="218"/>
      <c r="G152" s="218"/>
    </row>
    <row r="153" spans="2:7" ht="12" customHeight="1">
      <c r="B153" s="218" t="s">
        <v>235</v>
      </c>
      <c r="C153" s="218"/>
      <c r="D153" s="211">
        <f>+G26</f>
        <v>3250</v>
      </c>
      <c r="E153" s="218"/>
      <c r="F153" s="218"/>
      <c r="G153" s="218"/>
    </row>
    <row r="154" spans="2:7" ht="12" customHeight="1">
      <c r="B154" s="218" t="s">
        <v>236</v>
      </c>
      <c r="C154" s="218"/>
      <c r="D154" s="211">
        <f>+G57</f>
        <v>3343.34</v>
      </c>
      <c r="E154" s="218"/>
      <c r="F154" s="218"/>
      <c r="G154" s="218"/>
    </row>
    <row r="155" spans="2:7" ht="12" customHeight="1">
      <c r="B155" s="218" t="s">
        <v>237</v>
      </c>
      <c r="C155" s="218"/>
      <c r="D155" s="211">
        <f>+G50+G86</f>
        <v>3260</v>
      </c>
      <c r="E155" s="218"/>
      <c r="F155" s="218"/>
      <c r="G155" s="218"/>
    </row>
    <row r="156" spans="2:7" ht="12" customHeight="1">
      <c r="B156" s="218" t="s">
        <v>238</v>
      </c>
      <c r="C156" s="218"/>
      <c r="D156" s="211">
        <f>+G96</f>
        <v>98.5334</v>
      </c>
      <c r="E156" s="218"/>
      <c r="F156" s="218"/>
      <c r="G156" s="218"/>
    </row>
    <row r="157" spans="2:7" ht="12" customHeight="1">
      <c r="B157" s="218"/>
      <c r="C157" s="218"/>
      <c r="D157" s="218"/>
      <c r="E157" s="218"/>
      <c r="F157" s="218"/>
      <c r="G157" s="218"/>
    </row>
    <row r="158" spans="2:7" ht="12" customHeight="1">
      <c r="B158" s="218"/>
      <c r="C158" s="218"/>
      <c r="D158" s="218"/>
      <c r="E158" s="226"/>
      <c r="F158" s="218"/>
      <c r="G158" s="218"/>
    </row>
    <row r="159" spans="2:7" ht="12" customHeight="1">
      <c r="B159" s="218"/>
      <c r="C159" s="218"/>
      <c r="D159" s="218"/>
      <c r="E159" s="218"/>
      <c r="F159" s="218"/>
      <c r="G159" s="218"/>
    </row>
    <row r="160" spans="2:7" ht="12" customHeight="1">
      <c r="B160" s="218"/>
      <c r="C160" s="218"/>
      <c r="D160" s="218"/>
      <c r="E160" s="218"/>
      <c r="F160" s="218"/>
      <c r="G160" s="218"/>
    </row>
    <row r="161" spans="2:7" ht="12" customHeight="1">
      <c r="B161" s="227" t="s">
        <v>239</v>
      </c>
      <c r="C161" s="218"/>
      <c r="D161" s="218"/>
      <c r="E161" s="218"/>
      <c r="F161" s="218"/>
      <c r="G161" s="218"/>
    </row>
    <row r="162" spans="2:7" ht="12" customHeight="1">
      <c r="B162" s="218"/>
      <c r="C162" s="218"/>
      <c r="D162" s="218"/>
      <c r="E162" s="228" t="s">
        <v>240</v>
      </c>
      <c r="F162" s="228"/>
      <c r="G162" s="228"/>
    </row>
    <row r="163" spans="2:7" ht="12" customHeight="1">
      <c r="B163" s="218"/>
      <c r="C163" s="218"/>
      <c r="D163" s="218"/>
      <c r="E163" s="218"/>
      <c r="F163" s="218"/>
      <c r="G163" s="218"/>
    </row>
    <row r="164" spans="2:7" ht="12" customHeight="1">
      <c r="B164" s="218"/>
      <c r="C164" s="218"/>
      <c r="D164" s="218"/>
      <c r="E164" s="218"/>
      <c r="F164" s="218"/>
      <c r="G164" s="218"/>
    </row>
    <row r="165" spans="2:7" ht="12" customHeight="1">
      <c r="B165" s="218"/>
      <c r="C165" s="218"/>
      <c r="D165" s="218"/>
      <c r="E165" s="218"/>
      <c r="F165" s="218"/>
      <c r="G165" s="218"/>
    </row>
    <row r="166" spans="2:7" ht="12" customHeight="1">
      <c r="B166" s="218"/>
      <c r="C166" s="218"/>
      <c r="D166" s="218"/>
      <c r="E166" s="218"/>
      <c r="F166" s="218"/>
      <c r="G166" s="218"/>
    </row>
    <row r="167" spans="2:7" ht="12" customHeight="1">
      <c r="B167" s="218"/>
      <c r="C167" s="218"/>
      <c r="D167" s="218"/>
      <c r="E167" s="218"/>
      <c r="F167" s="218"/>
      <c r="G167" s="218"/>
    </row>
    <row r="168" spans="2:7" ht="12" customHeight="1">
      <c r="B168" s="218"/>
      <c r="C168" s="218"/>
      <c r="D168" s="218"/>
      <c r="E168" s="218"/>
      <c r="F168" s="218"/>
      <c r="G168" s="218"/>
    </row>
    <row r="169" spans="2:7" ht="12" customHeight="1">
      <c r="B169" s="218"/>
      <c r="C169" s="218"/>
      <c r="D169" s="218"/>
      <c r="E169" s="218"/>
      <c r="F169" s="218"/>
      <c r="G169" s="218"/>
    </row>
    <row r="170" spans="2:7" ht="12" customHeight="1">
      <c r="B170" s="218"/>
      <c r="C170" s="218"/>
      <c r="D170" s="218"/>
      <c r="E170" s="218"/>
      <c r="F170" s="218" t="s">
        <v>241</v>
      </c>
      <c r="G170" s="218"/>
    </row>
    <row r="171" spans="2:7" ht="12" customHeight="1">
      <c r="B171" s="218"/>
      <c r="C171" s="218"/>
      <c r="D171" s="218"/>
      <c r="E171" s="218"/>
      <c r="F171" s="218"/>
      <c r="G171" s="218"/>
    </row>
    <row r="172" spans="2:7" ht="12" customHeight="1">
      <c r="B172" s="218"/>
      <c r="C172" s="218"/>
      <c r="D172" s="218"/>
      <c r="E172" s="218"/>
      <c r="F172" s="218"/>
      <c r="G172" s="218"/>
    </row>
    <row r="173" spans="2:7" ht="12" customHeight="1">
      <c r="B173" s="218"/>
      <c r="C173" s="218"/>
      <c r="D173" s="218"/>
      <c r="E173" s="218"/>
      <c r="F173" s="218"/>
      <c r="G173" s="218"/>
    </row>
    <row r="174" spans="2:7" ht="12" customHeight="1">
      <c r="B174" s="229">
        <f>E144/(1-((E151)/E120))</f>
        <v>10315.723600000016</v>
      </c>
      <c r="C174" s="218"/>
      <c r="D174" s="218"/>
      <c r="E174" s="218"/>
      <c r="F174" s="218"/>
      <c r="G174" s="218"/>
    </row>
    <row r="175" spans="2:7" ht="12" customHeight="1">
      <c r="B175" s="230"/>
      <c r="C175" s="218"/>
      <c r="D175" s="218"/>
      <c r="E175" s="218"/>
      <c r="F175" s="218"/>
      <c r="G175" s="218"/>
    </row>
    <row r="176" spans="2:7" ht="12" customHeight="1">
      <c r="B176" s="230"/>
      <c r="C176" s="218"/>
      <c r="D176" s="218"/>
      <c r="E176" s="218"/>
      <c r="F176" s="218"/>
      <c r="G176" s="218"/>
    </row>
    <row r="177" spans="2:7" ht="12" customHeight="1">
      <c r="B177" s="229">
        <f>E144</f>
        <v>363.85019999999997</v>
      </c>
      <c r="C177" s="218"/>
      <c r="D177" s="218"/>
      <c r="E177" s="218"/>
      <c r="F177" s="218"/>
      <c r="G177" s="218"/>
    </row>
    <row r="178" spans="2:7" ht="12" customHeight="1">
      <c r="B178" s="231"/>
      <c r="C178" s="218"/>
      <c r="D178" s="218"/>
      <c r="E178" s="218"/>
      <c r="F178" s="218"/>
      <c r="G178" s="218"/>
    </row>
    <row r="179" spans="2:7" ht="12" customHeight="1">
      <c r="B179" s="218"/>
      <c r="C179" s="218"/>
      <c r="D179" s="218"/>
      <c r="E179" s="218"/>
      <c r="F179" s="218"/>
      <c r="G179" s="218"/>
    </row>
    <row r="180" spans="2:7" ht="12" customHeight="1">
      <c r="B180" s="218"/>
      <c r="C180" s="218"/>
      <c r="D180" s="218"/>
      <c r="E180" s="218"/>
      <c r="F180" s="218"/>
      <c r="G180" s="218"/>
    </row>
    <row r="181" spans="2:7" ht="12" customHeight="1">
      <c r="B181" s="218"/>
      <c r="C181" s="218"/>
      <c r="D181" s="218"/>
      <c r="E181" s="218"/>
      <c r="F181" s="218"/>
      <c r="G181" s="218"/>
    </row>
    <row r="182" spans="2:7" ht="12" customHeight="1">
      <c r="B182" s="218"/>
      <c r="C182" s="218"/>
      <c r="D182" s="218"/>
      <c r="E182" s="218"/>
      <c r="F182" s="218"/>
      <c r="G182" s="218"/>
    </row>
    <row r="183" spans="2:7" ht="12" customHeight="1">
      <c r="B183" s="218"/>
      <c r="C183" s="218"/>
      <c r="D183" s="218"/>
      <c r="E183" s="218"/>
      <c r="F183" s="218"/>
      <c r="G183" s="218"/>
    </row>
    <row r="184" spans="2:7" ht="12" customHeight="1">
      <c r="B184" s="218"/>
      <c r="C184" s="218"/>
      <c r="D184" s="218"/>
      <c r="E184" s="232"/>
      <c r="F184" s="218"/>
      <c r="G184" s="218"/>
    </row>
    <row r="185" spans="2:7" ht="12" customHeight="1">
      <c r="B185" s="218"/>
      <c r="C185" s="218"/>
      <c r="D185" s="218"/>
      <c r="E185" s="232"/>
      <c r="F185" s="218"/>
      <c r="G185" s="218"/>
    </row>
    <row r="186" spans="2:7" ht="12" customHeight="1">
      <c r="B186" s="230"/>
      <c r="C186" s="233">
        <f>(B174/E114)</f>
        <v>13109.931525724041</v>
      </c>
      <c r="D186" s="233"/>
      <c r="E186" s="234" t="s">
        <v>242</v>
      </c>
      <c r="F186" s="234"/>
      <c r="G186" s="218"/>
    </row>
    <row r="187" spans="2:7" ht="12" customHeight="1">
      <c r="B187" s="218"/>
      <c r="C187" s="218"/>
      <c r="D187" s="218"/>
      <c r="E187" s="218"/>
      <c r="F187" s="218"/>
      <c r="G187" s="218"/>
    </row>
    <row r="188" spans="2:7" ht="12" customHeight="1">
      <c r="B188" s="218"/>
      <c r="C188" s="218"/>
      <c r="D188" s="218"/>
      <c r="E188" s="218"/>
      <c r="F188" s="218"/>
      <c r="G188" s="218"/>
    </row>
    <row r="189" spans="2:7" ht="12" customHeight="1">
      <c r="B189" s="218"/>
      <c r="C189" s="218"/>
      <c r="D189" s="218"/>
      <c r="E189" s="218"/>
      <c r="F189" s="218"/>
      <c r="G189" s="218"/>
    </row>
    <row r="190" spans="2:7" ht="12" customHeight="1">
      <c r="B190" s="218"/>
      <c r="C190" s="218"/>
      <c r="D190" s="218"/>
      <c r="E190" s="218"/>
      <c r="F190" s="218"/>
      <c r="G190" s="218"/>
    </row>
    <row r="191" spans="2:7" ht="12" customHeight="1">
      <c r="B191" s="218"/>
      <c r="C191" s="218"/>
      <c r="D191" s="218"/>
      <c r="E191" s="218"/>
      <c r="F191" s="218"/>
      <c r="G191" s="218"/>
    </row>
    <row r="192" spans="2:7" ht="12" customHeight="1">
      <c r="B192" s="218"/>
      <c r="C192" s="218"/>
      <c r="D192" s="218"/>
      <c r="E192" s="218"/>
      <c r="F192" s="218"/>
      <c r="G192" s="218"/>
    </row>
    <row r="193" spans="2:7" ht="12" customHeight="1">
      <c r="B193" s="218"/>
      <c r="C193" s="218"/>
      <c r="D193" s="218"/>
      <c r="E193" s="218"/>
      <c r="F193" s="218"/>
      <c r="G193" s="218"/>
    </row>
  </sheetData>
  <mergeCells count="45">
    <mergeCell ref="E162:G162"/>
    <mergeCell ref="C186:D186"/>
    <mergeCell ref="E186:F186"/>
    <mergeCell ref="D132:E132"/>
    <mergeCell ref="D133:E133"/>
    <mergeCell ref="B136:E136"/>
    <mergeCell ref="C140:F140"/>
    <mergeCell ref="B141:G141"/>
    <mergeCell ref="G20:G22"/>
    <mergeCell ref="B107:H107"/>
    <mergeCell ref="B108:H108"/>
    <mergeCell ref="B110:E110"/>
    <mergeCell ref="D130:E130"/>
    <mergeCell ref="D131:E131"/>
    <mergeCell ref="A18:B18"/>
    <mergeCell ref="E18:F18"/>
    <mergeCell ref="A20:A22"/>
    <mergeCell ref="B20:B22"/>
    <mergeCell ref="C20:C22"/>
    <mergeCell ref="E20:E22"/>
    <mergeCell ref="F20:F22"/>
    <mergeCell ref="A15:B15"/>
    <mergeCell ref="E15:F15"/>
    <mergeCell ref="A16:B16"/>
    <mergeCell ref="E16:F16"/>
    <mergeCell ref="A17:B17"/>
    <mergeCell ref="E17:F17"/>
    <mergeCell ref="A12:B12"/>
    <mergeCell ref="E12:F12"/>
    <mergeCell ref="A13:B13"/>
    <mergeCell ref="E13:F13"/>
    <mergeCell ref="A14:B14"/>
    <mergeCell ref="E14:F14"/>
    <mergeCell ref="L9:M9"/>
    <mergeCell ref="A10:B10"/>
    <mergeCell ref="E10:F10"/>
    <mergeCell ref="L10:M10"/>
    <mergeCell ref="A11:B11"/>
    <mergeCell ref="E11:F11"/>
    <mergeCell ref="L4:M4"/>
    <mergeCell ref="A6:E7"/>
    <mergeCell ref="L6:M6"/>
    <mergeCell ref="L7:M7"/>
    <mergeCell ref="A8:E8"/>
    <mergeCell ref="L8:M8"/>
  </mergeCells>
  <pageMargins left="0.25" right="0.25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VAINITA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Vergara Cobian</dc:creator>
  <cp:lastModifiedBy>Windows10</cp:lastModifiedBy>
  <dcterms:created xsi:type="dcterms:W3CDTF">2023-09-02T13:09:27Z</dcterms:created>
  <dcterms:modified xsi:type="dcterms:W3CDTF">2025-04-27T07:43:11Z</dcterms:modified>
</cp:coreProperties>
</file>